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autoCompressPictures="0"/>
  <mc:AlternateContent xmlns:mc="http://schemas.openxmlformats.org/markup-compatibility/2006">
    <mc:Choice Requires="x15">
      <x15ac:absPath xmlns:x15ac="http://schemas.microsoft.com/office/spreadsheetml/2010/11/ac" url="\\ajuntament\serveis\Economia\Economia\Programació Econòmica i Pressupostària\Pressupost\2023\EEMM i OOAA\IME\"/>
    </mc:Choice>
  </mc:AlternateContent>
  <bookViews>
    <workbookView xWindow="0" yWindow="465" windowWidth="28800" windowHeight="16095" tabRatio="791" activeTab="4"/>
  </bookViews>
  <sheets>
    <sheet name="1_Ingressos" sheetId="1" r:id="rId1"/>
    <sheet name="2_Despesa econòmica" sheetId="2" r:id="rId2"/>
    <sheet name="3_Despeses Àrea Despesa" sheetId="3" r:id="rId3"/>
    <sheet name="4_Annex inversions" sheetId="4" r:id="rId4"/>
    <sheet name="5_Annex personal 2023" sheetId="7" r:id="rId5"/>
    <sheet name="6_Compliment Estab. Pressupost" sheetId="6" r:id="rId6"/>
  </sheets>
  <definedNames>
    <definedName name="_xlnm._FilterDatabase" localSheetId="1" hidden="1">'2_Despesa econòmica'!$F$6:$G$12</definedName>
    <definedName name="_xlnm.Print_Area" localSheetId="2">'3_Despeses Àrea Despesa'!$B$25:$I$128</definedName>
    <definedName name="_xlnm.Print_Area" localSheetId="3">'4_Annex inversions'!$A$2:$K$22</definedName>
    <definedName name="Excel_BuiltIn__FilterDatabase_2">'2_Despesa econòmica'!$B$35:$G$142</definedName>
    <definedName name="_xlnm.Print_Titles" localSheetId="1">'2_Despesa econòmica'!$29:$34</definedName>
    <definedName name="_xlnm.Print_Titles" localSheetId="2">'3_Despeses Àrea Despesa'!$25:$30</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N65" i="7" l="1"/>
  <c r="N66" i="7"/>
  <c r="N67" i="7"/>
  <c r="N68" i="7"/>
  <c r="N69" i="7"/>
  <c r="N70" i="7"/>
  <c r="N71" i="7"/>
  <c r="N72" i="7"/>
  <c r="N73" i="7"/>
  <c r="N74" i="7"/>
  <c r="N75" i="7"/>
  <c r="N76" i="7"/>
  <c r="N77" i="7"/>
  <c r="N78" i="7"/>
  <c r="N79" i="7"/>
  <c r="N64" i="7"/>
  <c r="N27" i="7"/>
  <c r="N28" i="7"/>
  <c r="N29" i="7"/>
  <c r="N30" i="7"/>
  <c r="N31" i="7"/>
  <c r="N32" i="7"/>
  <c r="N33" i="7"/>
  <c r="N34" i="7"/>
  <c r="N35" i="7"/>
  <c r="N36" i="7"/>
  <c r="N37" i="7"/>
  <c r="N38" i="7"/>
  <c r="N39" i="7"/>
  <c r="N40" i="7"/>
  <c r="N41" i="7"/>
  <c r="N42" i="7"/>
  <c r="N43" i="7"/>
  <c r="N44" i="7"/>
  <c r="N45" i="7"/>
  <c r="N46" i="7"/>
  <c r="N47" i="7"/>
  <c r="N48" i="7"/>
  <c r="N49" i="7"/>
  <c r="N50" i="7"/>
  <c r="N51" i="7"/>
  <c r="N52" i="7"/>
  <c r="N53" i="7"/>
  <c r="N54" i="7"/>
  <c r="N26" i="7"/>
  <c r="N17" i="7"/>
  <c r="N18" i="7"/>
  <c r="N19" i="7"/>
  <c r="N16" i="7"/>
  <c r="M70" i="7"/>
  <c r="M64" i="7"/>
  <c r="M43" i="7"/>
  <c r="M42" i="7"/>
  <c r="M27" i="7"/>
  <c r="M16" i="7"/>
  <c r="H79" i="7" l="1"/>
  <c r="H78" i="7"/>
  <c r="H77" i="7"/>
  <c r="H76" i="7"/>
  <c r="H75" i="7"/>
  <c r="H74" i="7"/>
  <c r="H73" i="7"/>
  <c r="H72" i="7"/>
  <c r="H71" i="7"/>
  <c r="H70" i="7"/>
  <c r="H69" i="7"/>
  <c r="H68" i="7"/>
  <c r="H67" i="7"/>
  <c r="H66" i="7"/>
  <c r="H65" i="7"/>
  <c r="H64" i="7"/>
  <c r="H47" i="7"/>
  <c r="H48" i="7"/>
  <c r="H49" i="7"/>
  <c r="H50" i="7"/>
  <c r="H51" i="7"/>
  <c r="H52" i="7"/>
  <c r="H53" i="7"/>
  <c r="H54" i="7"/>
  <c r="H46" i="7"/>
  <c r="H27" i="7"/>
  <c r="H28" i="7"/>
  <c r="H29" i="7"/>
  <c r="H30" i="7"/>
  <c r="H31" i="7"/>
  <c r="H32" i="7"/>
  <c r="H33" i="7"/>
  <c r="H34" i="7"/>
  <c r="H35" i="7"/>
  <c r="H36" i="7"/>
  <c r="H37" i="7"/>
  <c r="H38" i="7"/>
  <c r="H39" i="7"/>
  <c r="H40" i="7"/>
  <c r="H41" i="7"/>
  <c r="H42" i="7"/>
  <c r="H43" i="7"/>
  <c r="H44" i="7"/>
  <c r="H45" i="7"/>
  <c r="H26" i="7"/>
  <c r="H19" i="7"/>
  <c r="H18" i="7"/>
  <c r="H17" i="7"/>
  <c r="H16" i="7"/>
  <c r="I79" i="7" l="1"/>
  <c r="I78" i="7"/>
  <c r="I77" i="7"/>
  <c r="I76" i="7"/>
  <c r="I75" i="7"/>
  <c r="I74" i="7"/>
  <c r="I73" i="7"/>
  <c r="I71" i="7"/>
  <c r="I70" i="7"/>
  <c r="I69" i="7"/>
  <c r="I68" i="7"/>
  <c r="I66" i="7"/>
  <c r="I65" i="7"/>
  <c r="I64" i="7"/>
  <c r="I54" i="7" l="1"/>
  <c r="I53" i="7"/>
  <c r="I52" i="7"/>
  <c r="I51" i="7"/>
  <c r="I50" i="7"/>
  <c r="I49" i="7"/>
  <c r="I48" i="7"/>
  <c r="I47" i="7"/>
  <c r="I46" i="7"/>
  <c r="I45" i="7"/>
  <c r="I44" i="7"/>
  <c r="I43" i="7"/>
  <c r="I42" i="7"/>
  <c r="I41" i="7"/>
  <c r="I40" i="7"/>
  <c r="I39" i="7"/>
  <c r="I38" i="7"/>
  <c r="I37" i="7"/>
  <c r="I36" i="7"/>
  <c r="I35" i="7"/>
  <c r="I34" i="7"/>
  <c r="I33" i="7"/>
  <c r="I32" i="7"/>
  <c r="I31" i="7"/>
  <c r="I30" i="7"/>
  <c r="I29" i="7"/>
  <c r="I28" i="7"/>
  <c r="I27" i="7"/>
  <c r="I26" i="7"/>
  <c r="I19" i="7"/>
  <c r="I17" i="7"/>
  <c r="I16" i="7"/>
  <c r="I18" i="7"/>
  <c r="K47" i="7" l="1"/>
  <c r="Q47" i="7" s="1"/>
  <c r="K46" i="7"/>
  <c r="K30" i="7"/>
  <c r="K31" i="7"/>
  <c r="Q31" i="7" s="1"/>
  <c r="K33" i="7"/>
  <c r="K35" i="7"/>
  <c r="Q35" i="7" s="1"/>
  <c r="K38" i="7"/>
  <c r="K42" i="7"/>
  <c r="Q42" i="7" s="1"/>
  <c r="P30" i="7"/>
  <c r="P34" i="7"/>
  <c r="P38" i="7"/>
  <c r="P46" i="7"/>
  <c r="P49" i="7"/>
  <c r="P54" i="7"/>
  <c r="P42" i="7"/>
  <c r="P27" i="7"/>
  <c r="L18" i="7"/>
  <c r="P18" i="7" s="1"/>
  <c r="L17" i="7"/>
  <c r="P17" i="7" s="1"/>
  <c r="D52" i="1"/>
  <c r="E54" i="1" s="1"/>
  <c r="D12" i="1" s="1"/>
  <c r="D14" i="6" s="1"/>
  <c r="F14" i="6" s="1"/>
  <c r="G103" i="2"/>
  <c r="G112" i="2"/>
  <c r="G52" i="2"/>
  <c r="K16" i="7"/>
  <c r="L16" i="7"/>
  <c r="P16" i="7"/>
  <c r="K17" i="7"/>
  <c r="K18" i="7"/>
  <c r="K19" i="7"/>
  <c r="L19" i="7"/>
  <c r="P19" i="7" s="1"/>
  <c r="K27" i="7"/>
  <c r="P43" i="7"/>
  <c r="K43" i="7"/>
  <c r="P26" i="7"/>
  <c r="K26" i="7"/>
  <c r="Q26" i="7" s="1"/>
  <c r="P28" i="7"/>
  <c r="K28" i="7"/>
  <c r="P29" i="7"/>
  <c r="K29" i="7"/>
  <c r="P31" i="7"/>
  <c r="P32" i="7"/>
  <c r="K32" i="7"/>
  <c r="Q32" i="7" s="1"/>
  <c r="P33" i="7"/>
  <c r="K34" i="7"/>
  <c r="P35" i="7"/>
  <c r="P36" i="7"/>
  <c r="K36" i="7"/>
  <c r="Q36" i="7" s="1"/>
  <c r="P37" i="7"/>
  <c r="K37" i="7"/>
  <c r="Q37" i="7" s="1"/>
  <c r="P39" i="7"/>
  <c r="K39" i="7"/>
  <c r="Q39" i="7" s="1"/>
  <c r="P40" i="7"/>
  <c r="K40" i="7"/>
  <c r="P41" i="7"/>
  <c r="K41" i="7"/>
  <c r="P44" i="7"/>
  <c r="K44" i="7"/>
  <c r="Q44" i="7" s="1"/>
  <c r="P45" i="7"/>
  <c r="K45" i="7"/>
  <c r="P47" i="7"/>
  <c r="P48" i="7"/>
  <c r="K48" i="7"/>
  <c r="Q48" i="7" s="1"/>
  <c r="K49" i="7"/>
  <c r="P50" i="7"/>
  <c r="K50" i="7"/>
  <c r="Q50" i="7" s="1"/>
  <c r="P51" i="7"/>
  <c r="K51" i="7"/>
  <c r="Q51" i="7" s="1"/>
  <c r="P52" i="7"/>
  <c r="K52" i="7"/>
  <c r="Q52" i="7" s="1"/>
  <c r="P53" i="7"/>
  <c r="K53" i="7"/>
  <c r="K54" i="7"/>
  <c r="P64" i="7"/>
  <c r="P70" i="7"/>
  <c r="G132" i="2"/>
  <c r="G123" i="2"/>
  <c r="E61" i="1"/>
  <c r="K64" i="7"/>
  <c r="K65" i="7"/>
  <c r="P65" i="7"/>
  <c r="K66" i="7"/>
  <c r="P66" i="7"/>
  <c r="K67" i="7"/>
  <c r="P67" i="7"/>
  <c r="K68" i="7"/>
  <c r="P68" i="7"/>
  <c r="K69" i="7"/>
  <c r="P69" i="7"/>
  <c r="K70" i="7"/>
  <c r="K71" i="7"/>
  <c r="P71" i="7"/>
  <c r="K72" i="7"/>
  <c r="P72" i="7"/>
  <c r="K73" i="7"/>
  <c r="P73" i="7"/>
  <c r="K74" i="7"/>
  <c r="P74" i="7"/>
  <c r="K75" i="7"/>
  <c r="P75" i="7"/>
  <c r="K76" i="7"/>
  <c r="P76" i="7"/>
  <c r="K77" i="7"/>
  <c r="P77" i="7"/>
  <c r="K78" i="7"/>
  <c r="P78" i="7"/>
  <c r="K79" i="7"/>
  <c r="Q79" i="7" s="1"/>
  <c r="P79" i="7"/>
  <c r="Q12" i="7"/>
  <c r="Q14" i="7"/>
  <c r="P14" i="7"/>
  <c r="O12" i="7"/>
  <c r="D40" i="1"/>
  <c r="E42" i="1" s="1"/>
  <c r="F44" i="2"/>
  <c r="F57" i="3"/>
  <c r="F80" i="3"/>
  <c r="F45" i="3"/>
  <c r="F38" i="3"/>
  <c r="F59" i="3"/>
  <c r="F41" i="3"/>
  <c r="F119" i="2"/>
  <c r="F122" i="3"/>
  <c r="G124" i="3"/>
  <c r="H125" i="3"/>
  <c r="I126" i="3"/>
  <c r="F42" i="3"/>
  <c r="F43" i="3"/>
  <c r="F46" i="3"/>
  <c r="F47" i="3"/>
  <c r="F48" i="3"/>
  <c r="F49" i="3"/>
  <c r="F50" i="3"/>
  <c r="F51" i="3"/>
  <c r="F53" i="3"/>
  <c r="F126" i="2"/>
  <c r="F55" i="3"/>
  <c r="F56" i="3"/>
  <c r="F63" i="3"/>
  <c r="F64" i="3"/>
  <c r="F65" i="3"/>
  <c r="F65" i="2"/>
  <c r="F67" i="3"/>
  <c r="F68" i="3"/>
  <c r="F69" i="3"/>
  <c r="F70" i="3"/>
  <c r="F71" i="3"/>
  <c r="F72" i="3"/>
  <c r="F73" i="3"/>
  <c r="F74" i="3"/>
  <c r="F75" i="3"/>
  <c r="F76" i="3"/>
  <c r="F77" i="3"/>
  <c r="F78" i="3"/>
  <c r="F116" i="2"/>
  <c r="F82" i="3"/>
  <c r="F105" i="3"/>
  <c r="F106" i="3"/>
  <c r="F107" i="3"/>
  <c r="F109" i="3"/>
  <c r="F111" i="3"/>
  <c r="F87" i="3"/>
  <c r="F88" i="3"/>
  <c r="F89" i="3"/>
  <c r="F91" i="3"/>
  <c r="F92" i="3"/>
  <c r="F93" i="3"/>
  <c r="F94" i="3"/>
  <c r="F95" i="3"/>
  <c r="F96" i="3"/>
  <c r="F97" i="3"/>
  <c r="F98" i="3"/>
  <c r="F99" i="3"/>
  <c r="F100" i="3"/>
  <c r="F115" i="3"/>
  <c r="G117" i="3"/>
  <c r="C122" i="3"/>
  <c r="B122" i="3"/>
  <c r="C111" i="3"/>
  <c r="C109" i="3"/>
  <c r="B109" i="3"/>
  <c r="C107" i="3"/>
  <c r="C106" i="3"/>
  <c r="C105" i="3"/>
  <c r="C100" i="3"/>
  <c r="C99" i="3"/>
  <c r="C98" i="3"/>
  <c r="C97" i="3"/>
  <c r="C96" i="3"/>
  <c r="C95" i="3"/>
  <c r="C94" i="3"/>
  <c r="C93" i="3"/>
  <c r="C89" i="3"/>
  <c r="B89" i="3"/>
  <c r="C88" i="3"/>
  <c r="C87" i="3"/>
  <c r="C86" i="3"/>
  <c r="C82" i="3"/>
  <c r="C80" i="3"/>
  <c r="B80" i="3"/>
  <c r="C78" i="3"/>
  <c r="C77" i="3"/>
  <c r="C76" i="3"/>
  <c r="C75" i="3"/>
  <c r="C74" i="3"/>
  <c r="C73" i="3"/>
  <c r="C72" i="3"/>
  <c r="C71" i="3"/>
  <c r="C70" i="3"/>
  <c r="C69" i="3"/>
  <c r="C67" i="3"/>
  <c r="C65" i="3"/>
  <c r="C64" i="3"/>
  <c r="C63" i="3"/>
  <c r="C62" i="3"/>
  <c r="C55" i="3"/>
  <c r="B53" i="3"/>
  <c r="C51" i="3"/>
  <c r="C50" i="3"/>
  <c r="C49" i="3"/>
  <c r="C48" i="3"/>
  <c r="C47" i="3"/>
  <c r="C46" i="3"/>
  <c r="C45" i="3"/>
  <c r="C43" i="3"/>
  <c r="B43" i="3"/>
  <c r="C42" i="3"/>
  <c r="C41" i="3"/>
  <c r="C40" i="3"/>
  <c r="G17" i="3"/>
  <c r="G37" i="2"/>
  <c r="G70" i="2"/>
  <c r="G78" i="2"/>
  <c r="G110" i="2"/>
  <c r="G121" i="2"/>
  <c r="G130" i="2"/>
  <c r="G138" i="2"/>
  <c r="G140" i="2" s="1"/>
  <c r="F16" i="2" s="1"/>
  <c r="D59" i="1"/>
  <c r="D18" i="1"/>
  <c r="F12" i="2"/>
  <c r="D24" i="6"/>
  <c r="F24" i="6"/>
  <c r="D28" i="6"/>
  <c r="F28" i="6"/>
  <c r="D27" i="6"/>
  <c r="F27" i="6"/>
  <c r="D26" i="6"/>
  <c r="F26" i="6"/>
  <c r="D19" i="6"/>
  <c r="F19" i="6"/>
  <c r="D18" i="6"/>
  <c r="F18" i="6"/>
  <c r="D10" i="6"/>
  <c r="D16" i="6"/>
  <c r="F16" i="6"/>
  <c r="E34" i="6"/>
  <c r="F11" i="6"/>
  <c r="F15" i="6"/>
  <c r="E30" i="6"/>
  <c r="E33" i="6"/>
  <c r="F12" i="6"/>
  <c r="E31" i="6"/>
  <c r="E32" i="6"/>
  <c r="E29" i="6"/>
  <c r="E20" i="6"/>
  <c r="D8" i="6"/>
  <c r="E12" i="4"/>
  <c r="F12" i="4"/>
  <c r="G12" i="4"/>
  <c r="H12" i="4"/>
  <c r="I12" i="4"/>
  <c r="J12" i="4"/>
  <c r="K12" i="4"/>
  <c r="G24" i="2"/>
  <c r="E25" i="1"/>
  <c r="F10" i="6"/>
  <c r="D17" i="6"/>
  <c r="F17" i="6"/>
  <c r="E20" i="1"/>
  <c r="F34" i="6"/>
  <c r="D34" i="6"/>
  <c r="F11" i="2"/>
  <c r="D23" i="6"/>
  <c r="F23" i="6"/>
  <c r="F10" i="2"/>
  <c r="D22" i="6"/>
  <c r="F22" i="6" s="1"/>
  <c r="Q66" i="7" l="1"/>
  <c r="Q76" i="7"/>
  <c r="Q74" i="7"/>
  <c r="Q72" i="7"/>
  <c r="Q67" i="7"/>
  <c r="Q33" i="7"/>
  <c r="Q43" i="7"/>
  <c r="Q77" i="7"/>
  <c r="Q71" i="7"/>
  <c r="Q40" i="7"/>
  <c r="Q28" i="7"/>
  <c r="G19" i="2"/>
  <c r="D25" i="6"/>
  <c r="Q38" i="7"/>
  <c r="Q30" i="7"/>
  <c r="Q46" i="7"/>
  <c r="Q19" i="7"/>
  <c r="Q27" i="7"/>
  <c r="Q73" i="7"/>
  <c r="Q54" i="7"/>
  <c r="Q49" i="7"/>
  <c r="Q78" i="7"/>
  <c r="Q68" i="7"/>
  <c r="Q64" i="7"/>
  <c r="Q16" i="7"/>
  <c r="Q34" i="7"/>
  <c r="Q18" i="7"/>
  <c r="Q69" i="7"/>
  <c r="Q53" i="7"/>
  <c r="Q45" i="7"/>
  <c r="Q41" i="7"/>
  <c r="Q29" i="7"/>
  <c r="Q17" i="7"/>
  <c r="Q70" i="7"/>
  <c r="Q75" i="7"/>
  <c r="Q65" i="7"/>
  <c r="E63" i="1"/>
  <c r="G144" i="2" s="1"/>
  <c r="D11" i="1"/>
  <c r="Q57" i="7" l="1"/>
  <c r="Q59" i="7" s="1"/>
  <c r="F40" i="2" s="1"/>
  <c r="F62" i="3" s="1"/>
  <c r="G84" i="3" s="1"/>
  <c r="Q21" i="7"/>
  <c r="Q23" i="7" s="1"/>
  <c r="F39" i="2" s="1"/>
  <c r="F25" i="6"/>
  <c r="F31" i="6" s="1"/>
  <c r="D31" i="6"/>
  <c r="Q81" i="7"/>
  <c r="Q83" i="7" s="1"/>
  <c r="F41" i="2" s="1"/>
  <c r="F86" i="3" s="1"/>
  <c r="G113" i="3" s="1"/>
  <c r="E15" i="1"/>
  <c r="E27" i="1" s="1"/>
  <c r="D13" i="6"/>
  <c r="G46" i="2" l="1"/>
  <c r="F54" i="2" s="1"/>
  <c r="F40" i="3"/>
  <c r="G60" i="3" s="1"/>
  <c r="H119" i="3" s="1"/>
  <c r="I120" i="3" s="1"/>
  <c r="G13" i="3" s="1"/>
  <c r="Q84" i="7"/>
  <c r="F13" i="6"/>
  <c r="F20" i="6" s="1"/>
  <c r="D20" i="6"/>
  <c r="F31" i="3" l="1"/>
  <c r="G33" i="3" s="1"/>
  <c r="H34" i="3" s="1"/>
  <c r="I35" i="3" s="1"/>
  <c r="G11" i="3" s="1"/>
  <c r="G59" i="2"/>
  <c r="G61" i="2" s="1"/>
  <c r="F9" i="2" l="1"/>
  <c r="G142" i="2"/>
  <c r="G22" i="3" l="1"/>
  <c r="I128" i="3"/>
  <c r="G147" i="2"/>
  <c r="G14" i="2"/>
  <c r="G26" i="2" s="1"/>
  <c r="D21" i="6"/>
  <c r="D29" i="6" l="1"/>
  <c r="D30" i="6"/>
  <c r="F21" i="6"/>
  <c r="F30" i="6" l="1"/>
  <c r="F29" i="6"/>
  <c r="D32" i="6"/>
  <c r="D33" i="6"/>
  <c r="F32" i="6" l="1"/>
  <c r="F33" i="6"/>
</calcChain>
</file>

<file path=xl/sharedStrings.xml><?xml version="1.0" encoding="utf-8"?>
<sst xmlns="http://schemas.openxmlformats.org/spreadsheetml/2006/main" count="703" uniqueCount="277">
  <si>
    <t>Estat d'ingressos</t>
  </si>
  <si>
    <t>RESUM DEL PRESSUPOST PER CAPÍTOLS</t>
  </si>
  <si>
    <t>Denominacions</t>
  </si>
  <si>
    <t>Total</t>
  </si>
  <si>
    <t>capítol</t>
  </si>
  <si>
    <t>agrupació</t>
  </si>
  <si>
    <t>1. IMPOSTOS DIRECTES ……………………………………………………….</t>
  </si>
  <si>
    <t>2. IMPOSTOS INDIRECTES ………………………………………………………</t>
  </si>
  <si>
    <t>3. TAXES I ALTRES INGRESSOS ……………………………………………</t>
  </si>
  <si>
    <t>4. TRANSFERÈNCIES CORRENTS …………………………………………</t>
  </si>
  <si>
    <t>5. INGRESSOS PATRIMONIALS ……………………………………………</t>
  </si>
  <si>
    <t>Total ingressos per operacions corrents ………………………………………………………..</t>
  </si>
  <si>
    <t>6. ALIENACIÓ D'INVERSIONS REALS …………………………………………</t>
  </si>
  <si>
    <t>7. TRANSFERÈNCIES DE CAPITAL ………………………………………..</t>
  </si>
  <si>
    <t>Total ingressos per operacions de capital …………………………………………………….</t>
  </si>
  <si>
    <t>8. ACTIUS FINANCERS …………………………………………………………..</t>
  </si>
  <si>
    <t>9. PASSIUS FINANCERS ……………………………………………………..</t>
  </si>
  <si>
    <t>Total ingressos per operacions financeres ……………………………………………………</t>
  </si>
  <si>
    <t>Total general Pressupost …………………………………………………………………………</t>
  </si>
  <si>
    <t>Codi</t>
  </si>
  <si>
    <t>Denominació econòmica</t>
  </si>
  <si>
    <t>Import</t>
  </si>
  <si>
    <t>subconcepte</t>
  </si>
  <si>
    <t>article</t>
  </si>
  <si>
    <t>Preu públic serveis Escola de Música</t>
  </si>
  <si>
    <t>Preu públic serveis escoles bressol</t>
  </si>
  <si>
    <t>Preu públic cursos de dansa</t>
  </si>
  <si>
    <t>400.01</t>
  </si>
  <si>
    <t>T.Co. Ajuntament: funcionament general</t>
  </si>
  <si>
    <t>400.02</t>
  </si>
  <si>
    <t>T.Co. Ajuntament: Escola de Música</t>
  </si>
  <si>
    <t>400.03</t>
  </si>
  <si>
    <t>T.Co. Ajuntament: escoles bressol</t>
  </si>
  <si>
    <t>400.04</t>
  </si>
  <si>
    <t>T.Co. Ajuntament: Pla Educatiu d'Entorn</t>
  </si>
  <si>
    <t>400.05</t>
  </si>
  <si>
    <t>T.Co. Ajuntament: Oficina Municipal d'Escolarització</t>
  </si>
  <si>
    <t>TOTAL CAPÍTOL IV ………………………………………………………………………</t>
  </si>
  <si>
    <t>700.01</t>
  </si>
  <si>
    <t>T.Cap. Ajuntament: inversions generals</t>
  </si>
  <si>
    <t>1. DESPESES DE PERSONAL …………………………………………………………………………………………......</t>
  </si>
  <si>
    <t>2. DESPESES EN BÉNS CORRENTS I SERVEIS ……………………………………………………………………….....</t>
  </si>
  <si>
    <t>3. DESPESES FINANCERES ……………………………………………………………………………………………….....</t>
  </si>
  <si>
    <t>4. TRANSFERÈNCIES CORRENTS ………………………………………………………………………………………...</t>
  </si>
  <si>
    <t>Total despeses per operacions corrents ………………………………………………………………………………………………….</t>
  </si>
  <si>
    <t>6. INVERSIONS REALS ………………………………………………………………………………………………………..</t>
  </si>
  <si>
    <t>7. TRANSFERÈNCIES DE CAPITAL ………………………………………………………………………………………..</t>
  </si>
  <si>
    <t>Total despeses per operacions de capital …………………………………………………………………………………………………</t>
  </si>
  <si>
    <t>8. ACTIUS FINANCERS ………………………………………………………………………………………………………….</t>
  </si>
  <si>
    <t>9. PASSIUS FINANCERS ……………………………………………………………………………………………………….</t>
  </si>
  <si>
    <t>Total despeses per operacions financeres …………………………………………………………………………………………………..</t>
  </si>
  <si>
    <t>Denominació funcional</t>
  </si>
  <si>
    <t>econ.</t>
  </si>
  <si>
    <t>func.</t>
  </si>
  <si>
    <t>partida</t>
  </si>
  <si>
    <t>art. i cap.</t>
  </si>
  <si>
    <t>Retribucions personal eventual</t>
  </si>
  <si>
    <t>Retribucions personal laboral fix</t>
  </si>
  <si>
    <t>Serveis generals d'educació</t>
  </si>
  <si>
    <t>Educació infantil</t>
  </si>
  <si>
    <t>Ensenyaments musicals</t>
  </si>
  <si>
    <t>Retribucions personal laboral eventual</t>
  </si>
  <si>
    <t>Total article 13 ………………………………………………………………………………………………………………</t>
  </si>
  <si>
    <t>Gratificacions</t>
  </si>
  <si>
    <t>Total article 15 ………………………………………………………………………………………………………..</t>
  </si>
  <si>
    <t>Quotes socials</t>
  </si>
  <si>
    <t>Seguretat Social</t>
  </si>
  <si>
    <t>Despeses socials del personal laboral</t>
  </si>
  <si>
    <t>Total article 16 ……………………………………………………………………………………………………………….</t>
  </si>
  <si>
    <t>TOTAL CAPÍTOL I ………………………………………………………………………………………………………</t>
  </si>
  <si>
    <t>Lloguer altre immobilitzat material</t>
  </si>
  <si>
    <t>Lloguer maquinària, instal·lacions i utillatge</t>
  </si>
  <si>
    <t>Total article 20 ……………………………………………………………………………………………………..</t>
  </si>
  <si>
    <t>Reparac. edificis i altres construccions</t>
  </si>
  <si>
    <t>Reparac. maquinària, instal·lacions i utillatge</t>
  </si>
  <si>
    <t>Reparac. equips processos informació</t>
  </si>
  <si>
    <t>Reparac. altre immobilitzat material</t>
  </si>
  <si>
    <t>Total article 21 ………………………………………………………………………………………………………………….</t>
  </si>
  <si>
    <t>Material d'oficina</t>
  </si>
  <si>
    <t>Subministraments</t>
  </si>
  <si>
    <t>Comunicacions</t>
  </si>
  <si>
    <t>Transports</t>
  </si>
  <si>
    <t>Primes d'assegurances</t>
  </si>
  <si>
    <t>Despeses diverses</t>
  </si>
  <si>
    <t>Treballs realitzats per altres empreses</t>
  </si>
  <si>
    <t>Total article 22 …………………………………………………………………………………………………………………</t>
  </si>
  <si>
    <t>Dietes</t>
  </si>
  <si>
    <t>Locomoció</t>
  </si>
  <si>
    <t>Total article 23 ………………………………………………………………………………………………………………….</t>
  </si>
  <si>
    <t>TOTAL CAPÍTOL II …………………………………………………………………………………………………………</t>
  </si>
  <si>
    <t>Altres despeses financeres</t>
  </si>
  <si>
    <t>TOTAL CAPÍTOL III ……………………………………………………………………………………………………</t>
  </si>
  <si>
    <t>Altres transferències a ISFL</t>
  </si>
  <si>
    <t>Total article 48 …………………………………………………………………………………………………………..</t>
  </si>
  <si>
    <t>TOTAL CAPÍTOL IV ……………………………………………………………………………………………………………………..</t>
  </si>
  <si>
    <t>Altre immobilitzat material</t>
  </si>
  <si>
    <t>Total article 62 ………………………………………………………………………………………………………………………….</t>
  </si>
  <si>
    <t>TOTAL CAPÍTOL VI ………………………………………………………………………………………………..</t>
  </si>
  <si>
    <t>0. DEUTE PÚBLIC …………………………………………………………………………………………………………………………...........</t>
  </si>
  <si>
    <t>Lloguer maquinària, instal·lacions i utilllatge</t>
  </si>
  <si>
    <t>Suministraments</t>
  </si>
  <si>
    <t>Annex d'inversions</t>
  </si>
  <si>
    <t>Recursos</t>
  </si>
  <si>
    <t>Ajuntament</t>
  </si>
  <si>
    <t>Subvencions</t>
  </si>
  <si>
    <t>generals</t>
  </si>
  <si>
    <t>Prèstec</t>
  </si>
  <si>
    <t>Mollet Vallès</t>
  </si>
  <si>
    <t>Generalitat</t>
  </si>
  <si>
    <t>Diputació</t>
  </si>
  <si>
    <t>Altres</t>
  </si>
  <si>
    <t>Total programa d'inversions ………………………………………………………………………….</t>
  </si>
  <si>
    <t>Annex de personal</t>
  </si>
  <si>
    <t>Tipus</t>
  </si>
  <si>
    <t>Nous</t>
  </si>
  <si>
    <t>Denominació</t>
  </si>
  <si>
    <t>Núm.</t>
  </si>
  <si>
    <t>Hores</t>
  </si>
  <si>
    <t>lloc</t>
  </si>
  <si>
    <t>tr.</t>
  </si>
  <si>
    <t>del lloc de treball</t>
  </si>
  <si>
    <t>Grup</t>
  </si>
  <si>
    <t>setm.</t>
  </si>
  <si>
    <t>Sou</t>
  </si>
  <si>
    <t>Triennis</t>
  </si>
  <si>
    <t>triennis</t>
  </si>
  <si>
    <t>ret. bàsiques</t>
  </si>
  <si>
    <t>Complements</t>
  </si>
  <si>
    <t>ret. compl.</t>
  </si>
  <si>
    <t>anual</t>
  </si>
  <si>
    <t>Gerent/a</t>
  </si>
  <si>
    <t>Total personal eventual …………………………………………………………………………………………………………………………………………………………………………………………………………………….</t>
  </si>
  <si>
    <t>L</t>
  </si>
  <si>
    <t>Auxiliar administratiu/va</t>
  </si>
  <si>
    <t>Mestre/a Escola Bressol</t>
  </si>
  <si>
    <t>Educador/a Escola Bressol</t>
  </si>
  <si>
    <t>Director/a i prof. flauta travessera</t>
  </si>
  <si>
    <t>Professor/a saxo i director/a gr. vent</t>
  </si>
  <si>
    <t>Professor/a violí</t>
  </si>
  <si>
    <t>Professor/a llenguatge musical</t>
  </si>
  <si>
    <t>Professor/a piano</t>
  </si>
  <si>
    <t>Professor/a cant coral i lleng. musical</t>
  </si>
  <si>
    <t>Professor/a clarinet</t>
  </si>
  <si>
    <t>Professor/a violoncel</t>
  </si>
  <si>
    <t>Professor/a guitarra i música cambra</t>
  </si>
  <si>
    <t>Secretari/ària Suport a Professorat</t>
  </si>
  <si>
    <t>A2</t>
  </si>
  <si>
    <t>C1</t>
  </si>
  <si>
    <t>C2</t>
  </si>
  <si>
    <t>A1</t>
  </si>
  <si>
    <t>INFORME DE LA INTERVENCIÓ SOBRE L'ASSOLIMENT DE L'OBJECTIU D'ESTABILITAT PRESSUPOSTÀRIA</t>
  </si>
  <si>
    <t>Aquest informe s'ajusta al que determina l'article 16.2 del Reglament de la Llei General d'Estabilitat pressupostaria</t>
  </si>
  <si>
    <t>Tràmit motiu de l'informe</t>
  </si>
  <si>
    <t xml:space="preserve">Data d'aprovació pressupost </t>
  </si>
  <si>
    <t>AJUSTAMENTS</t>
  </si>
  <si>
    <t>IMPORTS SEC 95</t>
  </si>
  <si>
    <t xml:space="preserve">Pressupost d'ingressos </t>
  </si>
  <si>
    <t xml:space="preserve"> Capítol 1</t>
  </si>
  <si>
    <t xml:space="preserve"> Capítol 2</t>
  </si>
  <si>
    <t>3A</t>
  </si>
  <si>
    <t xml:space="preserve"> Capítol 3 : Contribucions especial i Quotes d'urbanització</t>
  </si>
  <si>
    <t>3B</t>
  </si>
  <si>
    <t xml:space="preserve"> Capítol 3 : Altres</t>
  </si>
  <si>
    <t xml:space="preserve"> Capítol 4</t>
  </si>
  <si>
    <t xml:space="preserve"> Capítol 5</t>
  </si>
  <si>
    <t xml:space="preserve"> Capítol 6</t>
  </si>
  <si>
    <t xml:space="preserve"> Capítol 7</t>
  </si>
  <si>
    <t xml:space="preserve"> Capítol 8</t>
  </si>
  <si>
    <t xml:space="preserve"> Capítol 9</t>
  </si>
  <si>
    <t>Pressupost de despeses</t>
  </si>
  <si>
    <t xml:space="preserve"> Capítol 3</t>
  </si>
  <si>
    <t>Superàvit / dèficit no financer</t>
  </si>
  <si>
    <t>Estalvi corrent (1+2+3B+4+5-11-12-13-14)</t>
  </si>
  <si>
    <t>Dèficit no financer de les inversions (16+17-3A-6-7)</t>
  </si>
  <si>
    <t>Capacitat (+) / necessitat (-) de finançament (20-21)</t>
  </si>
  <si>
    <t>Estalvi Net comptable (20-19)</t>
  </si>
  <si>
    <t>Superàvit(+) / dèficit(-) financer (+8+9-18-19)</t>
  </si>
  <si>
    <t>Objectiu assolit</t>
  </si>
  <si>
    <t>D’acord amb l’article 16.2 del R.D. 1463/2007 de 2 de novembre, del Reglament  de desenvolupament de la Llei General d'Estabilitat Pressupostària, en la seva aplicació a les entitat locals, s’informa que, d’acord amb els càlculs detallats, en el tràmit motiu de l’informe s'assoleix l’objectiu general fixat per a l'Administració Local, sobre estabilitat pressupostària.</t>
  </si>
  <si>
    <t>Objectiu no assolit sense escenaris previs. Modificació de crèdit finançada amb Romanent</t>
  </si>
  <si>
    <t xml:space="preserve">D’acord amb l’article 16.2 del R.D. 1463/2007 de 2 de novembre, de Reglament  de desenvolupament de la Llei General d’Estabilitat Pressupostària, en la seva aplicació a les entitat locals, s’informa que, segons els càlculs detallats, en el tràmit motiu de l’informe no s'assoleix l’objectiu general d’estabilitat pressupostària i per tant caldrà trametre aquest informe a l’òrgan competent de la Tutela Financera de l’Administració Local a Catalunya, d’acord amb el que estableix el propi article 16.2. Caldrà esperar a la liquidació, que cas de confirmar-se aquest fet requerirà l'aprovació d'un Pla Econòmic i Financer                                    
</t>
  </si>
  <si>
    <t>Objectiu no assolit sense escenaris previs</t>
  </si>
  <si>
    <t xml:space="preserve">D’acord amb l’article 16.2 del R.D. 1463/2007 de 2 de novembre, de Reglament  de desenvolupament de la Llei General d’Estabilitat Pressupostària, en la seva aplicació a les entitat locals, s’informa que, segons els càlculs detallats, en el tràmit motiu de l’informe no s'assoleix l’objectiu general d’estabilitat pressupostària i per tant caldrà trametre aquest informe a l’òrgan competent de la Tutela Financera de l’Administració Local a Catalunya, d’acord amb el que estableix el propi article 16.2..  Cal procedir a l’aprovació d’uns Escenaris Pressupostàris Plurianuals, a un termini màxim de 3 anys, d’acord amb el que estableix l'article 19 del mateix Reglament, llevat d'incompliment en Modificacions de Crèdit, i amb dèficit generat per despesa finançada amb Romanent de Despeses General (art. 21.1)                                          
</t>
  </si>
  <si>
    <t>Objectiu assolit amb escenaris prèvis</t>
  </si>
  <si>
    <t xml:space="preserve">D’acord amb l’article 16.2 del R.D. 1463/2007 de 2 de novembre, de Reglament  de desenvolupament de la Llei General d’Estabilitat Pressupostaria, en la seva aplicació a les entitat locals, s’informa que, segons els càlculs detallats, en el tràmit motiu de l’informe s'assoleix l'objectiu de capacitat o necessitat de finançament que figura en el Pla aprovat per l'exercici actual.
</t>
  </si>
  <si>
    <t>Objectiu no assolit amb escenaris prèvis</t>
  </si>
  <si>
    <t xml:space="preserve">D’acord amb l’article 16.2 del R.D. 1463/2007 de 2 de novembre, de Reglament  de desenvolupament de la Llei General d’Estabilitat Pressupostària, en la seva aplicació a les entitat locals, s’informa que, segons els càlculs detallats, en el tràmit motiu de l’informe no s'assoleix l'objectiu de dèficit que figura en el Pla aprovat per aquest exercici.
Si aquest fet es confirma en la liquidació caldrà procedir a a l’aprovació d’uns nous Escenaris Pressupostàris Plurianuals, a un termini màxim de 3 anys, d’acord amb el que estableix l'article 19 del mateix Reglament
</t>
  </si>
  <si>
    <t>L'interventor</t>
  </si>
  <si>
    <t>Model cedit per Diputació de Barcelona, v620</t>
  </si>
  <si>
    <t>INSTITUT MUNICIPAL D'EDUCACIÓ</t>
  </si>
  <si>
    <t>343.11</t>
  </si>
  <si>
    <t>343.12</t>
  </si>
  <si>
    <t>343.13</t>
  </si>
  <si>
    <t>Total general Pressupost d'Ingressos……………………………………………………………………..</t>
  </si>
  <si>
    <t>Total general Pressupost de Despeses………………………………………………………………………………………..</t>
  </si>
  <si>
    <t>Total general Pressupost de Despeses……………………………………………………………………………………………………………………....</t>
  </si>
  <si>
    <t>progr.</t>
  </si>
  <si>
    <t>Denominació grup de programa</t>
  </si>
  <si>
    <t>RESUM DEL PRESSUPOST PER ÀREA DE DESPESA</t>
  </si>
  <si>
    <t>1. SERVEIS PÚBLICS BÀSICS…………………………………………................................…………….................</t>
  </si>
  <si>
    <t>2. ACTUACIONS DE PROTECCIÓ I PROMOCIÓ SOCIAL…………………………………………..........................</t>
  </si>
  <si>
    <t>3. PRODUCCIÓ DE BÉNS PÚBLICS DE CARÀCTER PREFERENT……………………………….....................</t>
  </si>
  <si>
    <t>4. ACTUACIONS DE CARÀCTER ECONÒMIC…………................………………………………………….............</t>
  </si>
  <si>
    <t>9. ACTUACIONS DE CARÀCTER GENERAL ……................…………………………………………………..............</t>
  </si>
  <si>
    <t>Total general Pressupost de Despeses……………………………………………………………………………………………………………..........</t>
  </si>
  <si>
    <t>Progr.</t>
  </si>
  <si>
    <t>Interessos per operacions d'arrendament financer</t>
  </si>
  <si>
    <t>Total article 35 …………………………………………………………………………………………………………..</t>
  </si>
  <si>
    <t>Gestió del deute i tresoreria</t>
  </si>
  <si>
    <t>Estat de despeses, classificació per àrea de despesa</t>
  </si>
  <si>
    <t>Àrea de despesa</t>
  </si>
  <si>
    <t>Grup programa</t>
  </si>
  <si>
    <t>Política despesa</t>
  </si>
  <si>
    <t>Àrea despesa</t>
  </si>
  <si>
    <t>Total grup de programa  231  ( Administració general: Serveis socials) ………………………………………………………………………</t>
  </si>
  <si>
    <t>Total política de despesa 23  ( Serveis socials i promoció social) ………………………………………………………………………</t>
  </si>
  <si>
    <t>TOTAL ÀREA DE DESPESA  2  ( Actuacions de protecció i promoció social) ................…………………………………………………….........……</t>
  </si>
  <si>
    <t>Total grup de programa 320  (Administració general d'educacio) ………………………………………………………………..</t>
  </si>
  <si>
    <t>Total política de despesa 32  ( Educació) ………...........................................................……………………………</t>
  </si>
  <si>
    <t>TOTAL ÀREA DE DESPESA 9    ( Actuacions de caràcter general) ………………………………………………………….</t>
  </si>
  <si>
    <t>Total política de despesa  93    ( Administració financera) ….......................................................………………………………</t>
  </si>
  <si>
    <t>Total grup de programa    934  ( Gestió del deute i tresoreria) …………………........………………</t>
  </si>
  <si>
    <t>Total general Pressupost de despeses..........................................................………………………………………………………………..</t>
  </si>
  <si>
    <t>TOTAL  ÀREA DE DESPESA  3 ( Producció de béns públics de caràcter preferent) …................................................……………………..</t>
  </si>
  <si>
    <t>Total personal laboral ……………………………………………………………………………………………………………………………………………………………………………………………………………………………………………….....................................................................................…</t>
  </si>
  <si>
    <t xml:space="preserve"> </t>
  </si>
  <si>
    <t>Auxiliar tècnic d'educació</t>
  </si>
  <si>
    <t>489.01</t>
  </si>
  <si>
    <t>Subvenció al Consell Esportiu</t>
  </si>
  <si>
    <t xml:space="preserve">Serveis general d'educació </t>
  </si>
  <si>
    <t>TOTAL PROGRAMA 3240 ................................................................................................................................................................................................................................</t>
  </si>
  <si>
    <t>Complement productivitat</t>
  </si>
  <si>
    <t>producitivitat</t>
  </si>
  <si>
    <t>Total personal laboral ………………………………………………………………………………………………………………………………………………………………………………………………………………………………………………...................................................................…......................</t>
  </si>
  <si>
    <t>TOTAL PROGRAMA 3200 ………………………………………………………………………………………………………………………………………………………………………………………………………….................................................</t>
  </si>
  <si>
    <t>Total personal laboral fix ………………………………………………………………………………………………………………………………………………………………………………………………………………………………………………………………………………………...............................................</t>
  </si>
  <si>
    <t>TOTAL PROGRAMA 3241 ……………………………………………………………………………………………………………………………………………………………………………………………………………..............................................</t>
  </si>
  <si>
    <t>TOTAL PERSONAL ………………………………………………………………………………………………………………………………………………………………………………………………………………………………………….....................................</t>
  </si>
  <si>
    <t>Professor/a flauta travessera</t>
  </si>
  <si>
    <t>Lloguer d'equips per a processos de la informació</t>
  </si>
  <si>
    <t>Secr. , prof. flauta bec i lleng-musical</t>
  </si>
  <si>
    <t>Cap d'estudis, prof perc i lleng. musical</t>
  </si>
  <si>
    <t>489.02</t>
  </si>
  <si>
    <t>Trasnferència conveni FP dual</t>
  </si>
  <si>
    <t>Subvenció Consell Esportiu</t>
  </si>
  <si>
    <r>
      <t>Total article 34 ………………………………………………………</t>
    </r>
    <r>
      <rPr>
        <sz val="10"/>
        <rFont val="Arial"/>
        <family val="2"/>
      </rPr>
      <t>………………..</t>
    </r>
  </si>
  <si>
    <r>
      <t>Total article 40 ………………………………………………………………</t>
    </r>
    <r>
      <rPr>
        <sz val="10"/>
        <rFont val="Arial"/>
        <family val="2"/>
      </rPr>
      <t>……….</t>
    </r>
  </si>
  <si>
    <t>Total article 70 ……………………………………………………………………….</t>
  </si>
  <si>
    <t>TOTAL CAPÍTOL VII ………………………………………………………………………..</t>
  </si>
  <si>
    <t>TOTAL CAPÍTOL III ………………………………………………………………............</t>
  </si>
  <si>
    <t>461.01</t>
  </si>
  <si>
    <t>Pla Educatiu d'Entorn</t>
  </si>
  <si>
    <t>Total programa 3231 (Enseyaments musicals) …………………………………………………………………….</t>
  </si>
  <si>
    <t>Total programa 3230 (Educació infantil) ……………………………………………………………………….</t>
  </si>
  <si>
    <t>Pla educatiu d'entorn</t>
  </si>
  <si>
    <t>Total programa 3232  (Promoció educativa) …………………………………………………....</t>
  </si>
  <si>
    <t>Professor/a piano i lleng. musical</t>
  </si>
  <si>
    <t xml:space="preserve">Complement </t>
  </si>
  <si>
    <t>assistència</t>
  </si>
  <si>
    <t>Complements jornada</t>
  </si>
  <si>
    <t>Tècnica d'Educació amb delegació de tasques</t>
  </si>
  <si>
    <t>Complement direcció</t>
  </si>
  <si>
    <t>Professor/a sensi i lleng. Musical</t>
  </si>
  <si>
    <t>Serveis generals</t>
  </si>
  <si>
    <t xml:space="preserve">*proporcional </t>
  </si>
  <si>
    <t>a la jornada contractada</t>
  </si>
  <si>
    <t>*proporcional</t>
  </si>
  <si>
    <t>proporcional</t>
  </si>
  <si>
    <t xml:space="preserve">Despeses Ajuts Socials del personal laboral </t>
  </si>
  <si>
    <t>Estat de despeses, classificació econòmica</t>
  </si>
  <si>
    <t>Mollet del Vallès</t>
  </si>
  <si>
    <t>PRESSUPOST INSTITUT MUNICIPAL D'EDUCACIÓ, EXERCICI 2022</t>
  </si>
  <si>
    <t>151.65</t>
  </si>
  <si>
    <t>T.Co Generalitat de Catalunya</t>
  </si>
  <si>
    <t>PRESSUPOST INSTITUT MUNICIPAL D'EDUCACIÓ, EXERCICI 2023</t>
  </si>
  <si>
    <t>Mireia Dionisio Calé</t>
  </si>
  <si>
    <t>La presidenta,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</si>
</sst>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0\ &quot;€&quot;;[Red]\-#,##0\ &quot;€&quot;"/>
    <numFmt numFmtId="164" formatCode="_(&quot;€&quot;* #,##0.00_);_(&quot;€&quot;* \(#,##0.00\);_(&quot;€&quot;* &quot;-&quot;??_);_(@_)"/>
    <numFmt numFmtId="165" formatCode="_(* #,##0.00_);_(* \(#,##0.00\);_(* &quot;-&quot;??_);_(@_)"/>
    <numFmt numFmtId="166" formatCode="0.000%"/>
  </numFmts>
  <fonts count="26" x14ac:knownFonts="1">
    <font>
      <sz val="10"/>
      <name val="Arial"/>
      <family val="2"/>
    </font>
    <font>
      <sz val="10"/>
      <name val="Arial"/>
      <family val="2"/>
    </font>
    <font>
      <b/>
      <sz val="10"/>
      <name val="Arial"/>
      <family val="2"/>
    </font>
    <font>
      <i/>
      <sz val="10"/>
      <name val="Arial"/>
      <family val="2"/>
    </font>
    <font>
      <sz val="10"/>
      <color indexed="17"/>
      <name val="Arial"/>
      <family val="2"/>
    </font>
    <font>
      <sz val="10"/>
      <color indexed="10"/>
      <name val="Arial"/>
      <family val="2"/>
    </font>
    <font>
      <sz val="8"/>
      <name val="Arial"/>
      <family val="2"/>
    </font>
    <font>
      <sz val="10"/>
      <color indexed="12"/>
      <name val="Arial"/>
      <family val="2"/>
    </font>
    <font>
      <b/>
      <sz val="8"/>
      <name val="Arial"/>
      <family val="2"/>
    </font>
    <font>
      <b/>
      <sz val="12"/>
      <name val="Arial"/>
      <family val="2"/>
    </font>
    <font>
      <sz val="8"/>
      <name val="Arial"/>
      <family val="2"/>
    </font>
    <font>
      <sz val="10"/>
      <color indexed="9"/>
      <name val="Arial"/>
      <family val="2"/>
    </font>
    <font>
      <sz val="6"/>
      <name val="Arial"/>
      <family val="2"/>
    </font>
    <font>
      <b/>
      <i/>
      <sz val="10"/>
      <name val="Arial"/>
      <family val="2"/>
    </font>
    <font>
      <sz val="9"/>
      <name val="Arial"/>
      <family val="2"/>
    </font>
    <font>
      <sz val="10"/>
      <name val="Arial"/>
      <family val="2"/>
    </font>
    <font>
      <sz val="8"/>
      <color rgb="FF000000"/>
      <name val="Tahoma"/>
      <family val="2"/>
    </font>
    <font>
      <sz val="10"/>
      <color rgb="FFFF0000"/>
      <name val="Arial"/>
      <family val="2"/>
    </font>
    <font>
      <u/>
      <sz val="10"/>
      <color theme="10"/>
      <name val="Arial"/>
      <family val="2"/>
    </font>
    <font>
      <u/>
      <sz val="10"/>
      <color theme="11"/>
      <name val="Arial"/>
      <family val="2"/>
    </font>
    <font>
      <sz val="8"/>
      <color rgb="FFFF0000"/>
      <name val="Arial"/>
      <family val="2"/>
    </font>
    <font>
      <sz val="10"/>
      <color theme="1"/>
      <name val="Arial"/>
      <family val="2"/>
    </font>
    <font>
      <sz val="12"/>
      <name val="Times New Roman"/>
      <family val="1"/>
    </font>
    <font>
      <b/>
      <sz val="12"/>
      <name val="Times New Roman"/>
      <family val="1"/>
    </font>
    <font>
      <b/>
      <sz val="10"/>
      <color theme="1"/>
      <name val="Arial"/>
      <family val="2"/>
    </font>
    <font>
      <sz val="8"/>
      <color theme="1"/>
      <name val="Arial"/>
      <family val="2"/>
    </font>
  </fonts>
  <fills count="6">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s>
  <borders count="27">
    <border>
      <left/>
      <right/>
      <top/>
      <bottom/>
      <diagonal/>
    </border>
    <border>
      <left/>
      <right/>
      <top/>
      <bottom style="thin">
        <color indexed="8"/>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right/>
      <top style="thin">
        <color auto="1"/>
      </top>
      <bottom style="double">
        <color auto="1"/>
      </bottom>
      <diagonal/>
    </border>
    <border>
      <left/>
      <right/>
      <top style="medium">
        <color auto="1"/>
      </top>
      <bottom/>
      <diagonal/>
    </border>
    <border>
      <left/>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4">
    <xf numFmtId="0" fontId="0" fillId="0" borderId="0"/>
    <xf numFmtId="164" fontId="15" fillId="0" borderId="0" applyFont="0" applyFill="0" applyBorder="0" applyAlignment="0" applyProtection="0"/>
    <xf numFmtId="165" fontId="1" fillId="0" borderId="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9" fontId="1" fillId="0" borderId="0" applyFont="0" applyFill="0" applyBorder="0" applyAlignment="0" applyProtection="0"/>
  </cellStyleXfs>
  <cellXfs count="262">
    <xf numFmtId="0" fontId="0" fillId="0" borderId="0" xfId="0"/>
    <xf numFmtId="3" fontId="0" fillId="0" borderId="0" xfId="0" applyNumberFormat="1"/>
    <xf numFmtId="4" fontId="0" fillId="0" borderId="0" xfId="0" applyNumberFormat="1"/>
    <xf numFmtId="0" fontId="2" fillId="0" borderId="0" xfId="0" applyNumberFormat="1" applyFont="1"/>
    <xf numFmtId="3" fontId="2" fillId="0" borderId="0" xfId="0" applyNumberFormat="1" applyFont="1"/>
    <xf numFmtId="4" fontId="0" fillId="0" borderId="0" xfId="0" applyNumberFormat="1" applyFont="1" applyAlignment="1">
      <alignment horizontal="center"/>
    </xf>
    <xf numFmtId="4" fontId="0" fillId="0" borderId="1" xfId="0" applyNumberFormat="1" applyFont="1" applyBorder="1" applyAlignment="1">
      <alignment horizontal="center"/>
    </xf>
    <xf numFmtId="3" fontId="0" fillId="0" borderId="0" xfId="0" applyNumberFormat="1" applyFont="1"/>
    <xf numFmtId="4" fontId="0" fillId="0" borderId="0" xfId="0" applyNumberFormat="1" applyFont="1"/>
    <xf numFmtId="4" fontId="3" fillId="0" borderId="0" xfId="0" applyNumberFormat="1" applyFont="1"/>
    <xf numFmtId="3" fontId="0" fillId="0" borderId="0" xfId="0" applyNumberFormat="1" applyFont="1" applyFill="1"/>
    <xf numFmtId="3" fontId="0" fillId="0" borderId="0" xfId="0" applyNumberFormat="1" applyFill="1"/>
    <xf numFmtId="3" fontId="0" fillId="0" borderId="1" xfId="0" applyNumberFormat="1" applyFont="1" applyBorder="1" applyAlignment="1">
      <alignment horizontal="center"/>
    </xf>
    <xf numFmtId="1" fontId="0" fillId="0" borderId="0" xfId="0" applyNumberFormat="1" applyFont="1"/>
    <xf numFmtId="3" fontId="4" fillId="0" borderId="0" xfId="0" applyNumberFormat="1" applyFont="1"/>
    <xf numFmtId="3" fontId="5" fillId="0" borderId="0" xfId="0" applyNumberFormat="1" applyFont="1"/>
    <xf numFmtId="1" fontId="0" fillId="0" borderId="0" xfId="0" applyNumberFormat="1"/>
    <xf numFmtId="3" fontId="0" fillId="0" borderId="0" xfId="0" applyNumberFormat="1" applyBorder="1"/>
    <xf numFmtId="3" fontId="0" fillId="0" borderId="0" xfId="0" applyNumberFormat="1" applyAlignment="1">
      <alignment horizontal="center"/>
    </xf>
    <xf numFmtId="3" fontId="7" fillId="0" borderId="0" xfId="0" applyNumberFormat="1" applyFont="1"/>
    <xf numFmtId="4" fontId="7" fillId="0" borderId="0" xfId="0" applyNumberFormat="1" applyFont="1"/>
    <xf numFmtId="3" fontId="2" fillId="0" borderId="0" xfId="0" applyNumberFormat="1" applyFont="1" applyFill="1"/>
    <xf numFmtId="0" fontId="0" fillId="0" borderId="0" xfId="0" applyAlignment="1" applyProtection="1">
      <alignment horizontal="justify" vertical="top"/>
    </xf>
    <xf numFmtId="0" fontId="6" fillId="0" borderId="2" xfId="0" applyFont="1" applyBorder="1" applyAlignment="1" applyProtection="1">
      <alignment horizontal="left" vertical="top"/>
      <protection locked="0"/>
    </xf>
    <xf numFmtId="0" fontId="6" fillId="0" borderId="3" xfId="0" applyFont="1" applyBorder="1" applyAlignment="1" applyProtection="1">
      <alignment horizontal="left" vertical="top"/>
      <protection locked="0"/>
    </xf>
    <xf numFmtId="0" fontId="11" fillId="0" borderId="3" xfId="0" applyFont="1" applyBorder="1" applyAlignment="1" applyProtection="1">
      <alignment horizontal="left" vertical="top"/>
      <protection locked="0"/>
    </xf>
    <xf numFmtId="0" fontId="10" fillId="0" borderId="3" xfId="0" applyFont="1" applyBorder="1" applyAlignment="1" applyProtection="1">
      <alignment horizontal="left" vertical="center"/>
    </xf>
    <xf numFmtId="0" fontId="0" fillId="0" borderId="3" xfId="0" applyBorder="1" applyAlignment="1" applyProtection="1">
      <alignment horizontal="left" vertical="top"/>
    </xf>
    <xf numFmtId="0" fontId="0" fillId="0" borderId="0" xfId="0" applyAlignment="1" applyProtection="1">
      <alignment horizontal="left" vertical="top"/>
    </xf>
    <xf numFmtId="0" fontId="0" fillId="0" borderId="0" xfId="0" applyAlignment="1" applyProtection="1">
      <alignment horizontal="justify" vertical="top"/>
      <protection locked="0"/>
    </xf>
    <xf numFmtId="0" fontId="0" fillId="0" borderId="4" xfId="0" applyBorder="1" applyAlignment="1" applyProtection="1">
      <alignment horizontal="left" vertical="top"/>
      <protection locked="0"/>
    </xf>
    <xf numFmtId="0" fontId="0" fillId="0" borderId="0" xfId="0" applyBorder="1" applyAlignment="1" applyProtection="1">
      <alignment horizontal="left" vertical="top"/>
      <protection locked="0"/>
    </xf>
    <xf numFmtId="0" fontId="11" fillId="0" borderId="0" xfId="0" applyFont="1" applyBorder="1" applyAlignment="1" applyProtection="1">
      <alignment horizontal="left" vertical="top"/>
      <protection locked="0"/>
    </xf>
    <xf numFmtId="0" fontId="0" fillId="0" borderId="0" xfId="0" applyBorder="1" applyAlignment="1" applyProtection="1">
      <alignment horizontal="left" vertical="top"/>
    </xf>
    <xf numFmtId="0" fontId="0" fillId="0" borderId="5" xfId="0" applyBorder="1" applyAlignment="1" applyProtection="1">
      <alignment horizontal="left" vertical="top"/>
    </xf>
    <xf numFmtId="14" fontId="2" fillId="2" borderId="6" xfId="0" applyNumberFormat="1" applyFont="1" applyFill="1" applyBorder="1" applyAlignment="1" applyProtection="1">
      <alignment horizontal="left"/>
      <protection locked="0"/>
    </xf>
    <xf numFmtId="0" fontId="8" fillId="0" borderId="7" xfId="0" applyFont="1" applyBorder="1" applyAlignment="1" applyProtection="1">
      <alignment horizontal="center"/>
    </xf>
    <xf numFmtId="0" fontId="8" fillId="0" borderId="7" xfId="0" applyFont="1" applyBorder="1" applyAlignment="1" applyProtection="1">
      <alignment horizontal="center"/>
      <protection locked="0"/>
    </xf>
    <xf numFmtId="0" fontId="0" fillId="0" borderId="8" xfId="0" applyFont="1" applyBorder="1" applyAlignment="1" applyProtection="1">
      <alignment horizontal="justify" vertical="top"/>
    </xf>
    <xf numFmtId="0" fontId="0" fillId="0" borderId="8" xfId="0" applyFont="1" applyBorder="1" applyAlignment="1" applyProtection="1">
      <alignment horizontal="center"/>
    </xf>
    <xf numFmtId="0" fontId="6" fillId="0" borderId="9" xfId="0" applyFont="1" applyBorder="1" applyAlignment="1" applyProtection="1">
      <alignment horizontal="center" vertical="top"/>
    </xf>
    <xf numFmtId="0" fontId="6" fillId="0" borderId="10" xfId="0" applyFont="1" applyBorder="1" applyAlignment="1" applyProtection="1"/>
    <xf numFmtId="0" fontId="6" fillId="0" borderId="11" xfId="0" applyFont="1" applyBorder="1" applyAlignment="1" applyProtection="1"/>
    <xf numFmtId="165" fontId="6" fillId="2" borderId="12" xfId="2" applyFont="1" applyFill="1" applyBorder="1" applyAlignment="1" applyProtection="1">
      <protection locked="0"/>
    </xf>
    <xf numFmtId="165" fontId="6" fillId="3" borderId="11" xfId="2" applyFont="1" applyFill="1" applyBorder="1" applyAlignment="1" applyProtection="1">
      <protection hidden="1"/>
    </xf>
    <xf numFmtId="165" fontId="6" fillId="3" borderId="13" xfId="2" applyFont="1" applyFill="1" applyBorder="1" applyAlignment="1" applyProtection="1">
      <protection hidden="1"/>
    </xf>
    <xf numFmtId="0" fontId="6" fillId="0" borderId="14" xfId="0" applyFont="1" applyBorder="1" applyAlignment="1" applyProtection="1">
      <alignment horizontal="center" vertical="top"/>
    </xf>
    <xf numFmtId="165" fontId="6" fillId="3" borderId="6" xfId="2" applyFont="1" applyFill="1" applyBorder="1" applyAlignment="1" applyProtection="1">
      <protection hidden="1"/>
    </xf>
    <xf numFmtId="165" fontId="6" fillId="3" borderId="15" xfId="2" applyFont="1" applyFill="1" applyBorder="1" applyAlignment="1" applyProtection="1">
      <protection hidden="1"/>
    </xf>
    <xf numFmtId="165" fontId="6" fillId="2" borderId="16" xfId="2" applyFont="1" applyFill="1" applyBorder="1" applyAlignment="1" applyProtection="1">
      <protection locked="0"/>
    </xf>
    <xf numFmtId="165" fontId="6" fillId="3" borderId="5" xfId="2" applyFont="1" applyFill="1" applyBorder="1" applyAlignment="1" applyProtection="1">
      <protection hidden="1"/>
    </xf>
    <xf numFmtId="165" fontId="6" fillId="2" borderId="7" xfId="2" applyFont="1" applyFill="1" applyBorder="1" applyAlignment="1" applyProtection="1">
      <protection locked="0"/>
    </xf>
    <xf numFmtId="0" fontId="6" fillId="0" borderId="17" xfId="0" applyFont="1" applyBorder="1" applyAlignment="1" applyProtection="1">
      <alignment horizontal="center" vertical="top"/>
    </xf>
    <xf numFmtId="0" fontId="6" fillId="0" borderId="18" xfId="0" applyFont="1" applyBorder="1" applyAlignment="1" applyProtection="1"/>
    <xf numFmtId="0" fontId="6" fillId="0" borderId="8" xfId="0" applyFont="1" applyBorder="1" applyAlignment="1" applyProtection="1"/>
    <xf numFmtId="165" fontId="6" fillId="3" borderId="8" xfId="2" applyFont="1" applyFill="1" applyBorder="1" applyAlignment="1" applyProtection="1">
      <protection hidden="1"/>
    </xf>
    <xf numFmtId="165" fontId="6" fillId="3" borderId="19" xfId="2" applyFont="1" applyFill="1" applyBorder="1" applyAlignment="1" applyProtection="1">
      <protection hidden="1"/>
    </xf>
    <xf numFmtId="0" fontId="6" fillId="0" borderId="0" xfId="0" applyFont="1" applyAlignment="1" applyProtection="1">
      <alignment horizontal="justify" vertical="top"/>
    </xf>
    <xf numFmtId="165" fontId="8" fillId="0" borderId="0" xfId="2" applyFont="1" applyAlignment="1" applyProtection="1">
      <alignment horizontal="right" vertical="top"/>
    </xf>
    <xf numFmtId="165" fontId="6" fillId="0" borderId="11" xfId="2" applyFont="1" applyFill="1" applyBorder="1" applyAlignment="1" applyProtection="1">
      <protection hidden="1"/>
    </xf>
    <xf numFmtId="165" fontId="6" fillId="0" borderId="13" xfId="2" applyFont="1" applyFill="1" applyBorder="1" applyAlignment="1" applyProtection="1">
      <protection hidden="1"/>
    </xf>
    <xf numFmtId="165" fontId="6" fillId="0" borderId="6" xfId="2" applyFont="1" applyFill="1" applyBorder="1" applyAlignment="1" applyProtection="1">
      <protection hidden="1"/>
    </xf>
    <xf numFmtId="165" fontId="6" fillId="0" borderId="15" xfId="2" applyFont="1" applyFill="1" applyBorder="1" applyAlignment="1" applyProtection="1">
      <protection hidden="1"/>
    </xf>
    <xf numFmtId="165" fontId="6" fillId="0" borderId="8" xfId="2" applyFont="1" applyFill="1" applyBorder="1" applyAlignment="1" applyProtection="1">
      <protection hidden="1"/>
    </xf>
    <xf numFmtId="165" fontId="6" fillId="0" borderId="19" xfId="2" applyFont="1" applyFill="1" applyBorder="1" applyAlignment="1" applyProtection="1">
      <protection hidden="1"/>
    </xf>
    <xf numFmtId="0" fontId="0" fillId="0" borderId="0" xfId="0" applyFont="1" applyAlignment="1" applyProtection="1">
      <alignment horizontal="justify" vertical="top"/>
    </xf>
    <xf numFmtId="165" fontId="6" fillId="0" borderId="12" xfId="2" applyFont="1" applyFill="1" applyBorder="1" applyAlignment="1" applyProtection="1">
      <protection hidden="1"/>
    </xf>
    <xf numFmtId="165" fontId="6" fillId="0" borderId="7" xfId="2" applyFont="1" applyFill="1" applyBorder="1" applyAlignment="1" applyProtection="1">
      <protection hidden="1"/>
    </xf>
    <xf numFmtId="0" fontId="8" fillId="0" borderId="14" xfId="0" applyFont="1" applyBorder="1" applyAlignment="1" applyProtection="1">
      <alignment horizontal="center" vertical="top"/>
    </xf>
    <xf numFmtId="165" fontId="8" fillId="0" borderId="7" xfId="2" applyFont="1" applyFill="1" applyBorder="1" applyAlignment="1" applyProtection="1">
      <protection hidden="1"/>
    </xf>
    <xf numFmtId="165" fontId="8" fillId="0" borderId="15" xfId="2" applyFont="1" applyFill="1" applyBorder="1" applyAlignment="1" applyProtection="1">
      <protection hidden="1"/>
    </xf>
    <xf numFmtId="165" fontId="6" fillId="0" borderId="20" xfId="2" applyFont="1" applyFill="1" applyBorder="1" applyAlignment="1" applyProtection="1">
      <protection hidden="1"/>
    </xf>
    <xf numFmtId="165" fontId="6" fillId="0" borderId="21" xfId="2" applyFont="1" applyFill="1" applyBorder="1" applyAlignment="1" applyProtection="1">
      <protection hidden="1"/>
    </xf>
    <xf numFmtId="0" fontId="12" fillId="0" borderId="0" xfId="0" applyFont="1" applyAlignment="1" applyProtection="1">
      <alignment horizontal="justify" vertical="top"/>
    </xf>
    <xf numFmtId="0" fontId="2" fillId="0" borderId="0" xfId="0" applyFont="1" applyAlignment="1" applyProtection="1">
      <alignment horizontal="justify" vertical="top"/>
    </xf>
    <xf numFmtId="0" fontId="10" fillId="0" borderId="0" xfId="0" applyFont="1" applyAlignment="1" applyProtection="1">
      <alignment horizontal="justify" vertical="top"/>
    </xf>
    <xf numFmtId="0" fontId="0" fillId="0" borderId="0" xfId="0" applyAlignment="1" applyProtection="1">
      <alignment horizontal="right"/>
    </xf>
    <xf numFmtId="4" fontId="2" fillId="0" borderId="0" xfId="0" applyNumberFormat="1" applyFont="1"/>
    <xf numFmtId="3" fontId="2" fillId="0" borderId="22" xfId="0" applyNumberFormat="1" applyFont="1" applyBorder="1"/>
    <xf numFmtId="4" fontId="2" fillId="0" borderId="22" xfId="0" applyNumberFormat="1" applyFont="1" applyBorder="1"/>
    <xf numFmtId="3" fontId="2" fillId="0" borderId="6" xfId="0" applyNumberFormat="1" applyFont="1" applyBorder="1"/>
    <xf numFmtId="4" fontId="2" fillId="0" borderId="6" xfId="0" applyNumberFormat="1" applyFont="1" applyBorder="1"/>
    <xf numFmtId="4" fontId="2" fillId="0" borderId="22" xfId="0" applyNumberFormat="1" applyFont="1" applyBorder="1" applyAlignment="1">
      <alignment horizontal="right"/>
    </xf>
    <xf numFmtId="1" fontId="2" fillId="0" borderId="0" xfId="0" applyNumberFormat="1" applyFont="1"/>
    <xf numFmtId="4" fontId="2" fillId="0" borderId="0" xfId="0" applyNumberFormat="1" applyFont="1" applyFill="1"/>
    <xf numFmtId="4" fontId="2" fillId="0" borderId="0" xfId="0" applyNumberFormat="1" applyFont="1" applyAlignment="1">
      <alignment horizontal="center"/>
    </xf>
    <xf numFmtId="4" fontId="2" fillId="0" borderId="5" xfId="0" applyNumberFormat="1" applyFont="1" applyBorder="1" applyAlignment="1">
      <alignment horizontal="center"/>
    </xf>
    <xf numFmtId="4" fontId="2" fillId="0" borderId="0" xfId="0" applyNumberFormat="1" applyFont="1" applyAlignment="1">
      <alignment horizontal="right"/>
    </xf>
    <xf numFmtId="4" fontId="13" fillId="0" borderId="0" xfId="0" applyNumberFormat="1" applyFont="1"/>
    <xf numFmtId="4" fontId="0" fillId="0" borderId="22" xfId="0" applyNumberFormat="1" applyBorder="1"/>
    <xf numFmtId="4" fontId="14" fillId="0" borderId="5" xfId="0" applyNumberFormat="1" applyFont="1" applyBorder="1" applyAlignment="1">
      <alignment horizontal="center"/>
    </xf>
    <xf numFmtId="4" fontId="15" fillId="0" borderId="0" xfId="0" applyNumberFormat="1" applyFont="1"/>
    <xf numFmtId="4" fontId="15" fillId="0" borderId="0" xfId="0" applyNumberFormat="1" applyFont="1" applyFill="1"/>
    <xf numFmtId="3" fontId="15" fillId="0" borderId="0" xfId="0" applyNumberFormat="1" applyFont="1"/>
    <xf numFmtId="3" fontId="15" fillId="0" borderId="0" xfId="0" applyNumberFormat="1" applyFont="1" applyFill="1"/>
    <xf numFmtId="3" fontId="15" fillId="0" borderId="0" xfId="0" applyNumberFormat="1" applyFont="1" applyAlignment="1">
      <alignment horizontal="center"/>
    </xf>
    <xf numFmtId="3" fontId="15" fillId="0" borderId="1" xfId="0" applyNumberFormat="1" applyFont="1" applyBorder="1" applyAlignment="1">
      <alignment horizontal="center"/>
    </xf>
    <xf numFmtId="1" fontId="15" fillId="0" borderId="0" xfId="0" applyNumberFormat="1" applyFont="1"/>
    <xf numFmtId="3" fontId="15" fillId="0" borderId="1" xfId="0" applyNumberFormat="1" applyFont="1" applyBorder="1"/>
    <xf numFmtId="4" fontId="15" fillId="0" borderId="1" xfId="0" applyNumberFormat="1" applyFont="1" applyBorder="1"/>
    <xf numFmtId="4" fontId="15" fillId="0" borderId="0" xfId="0" applyNumberFormat="1" applyFont="1" applyBorder="1"/>
    <xf numFmtId="3" fontId="15" fillId="0" borderId="0" xfId="0" quotePrefix="1" applyNumberFormat="1" applyFont="1"/>
    <xf numFmtId="0" fontId="2" fillId="0" borderId="0" xfId="0" applyNumberFormat="1" applyFont="1" applyFill="1"/>
    <xf numFmtId="4" fontId="0" fillId="0" borderId="0" xfId="0" applyNumberFormat="1" applyFont="1" applyFill="1"/>
    <xf numFmtId="4" fontId="15" fillId="0" borderId="0" xfId="0" applyNumberFormat="1" applyFont="1" applyFill="1" applyAlignment="1">
      <alignment horizontal="center"/>
    </xf>
    <xf numFmtId="4" fontId="0" fillId="0" borderId="0" xfId="0" applyNumberFormat="1" applyFont="1" applyFill="1" applyAlignment="1">
      <alignment horizontal="center"/>
    </xf>
    <xf numFmtId="4" fontId="15" fillId="0" borderId="1" xfId="0" applyNumberFormat="1" applyFont="1" applyFill="1" applyBorder="1" applyAlignment="1">
      <alignment horizontal="center"/>
    </xf>
    <xf numFmtId="4" fontId="3" fillId="0" borderId="0" xfId="0" applyNumberFormat="1" applyFont="1" applyFill="1"/>
    <xf numFmtId="3" fontId="2" fillId="0" borderId="6" xfId="0" applyNumberFormat="1" applyFont="1" applyFill="1" applyBorder="1"/>
    <xf numFmtId="3" fontId="2" fillId="0" borderId="22" xfId="0" applyNumberFormat="1" applyFont="1" applyFill="1" applyBorder="1"/>
    <xf numFmtId="4" fontId="0" fillId="0" borderId="0" xfId="0" applyNumberFormat="1" applyFont="1" applyBorder="1" applyAlignment="1">
      <alignment horizontal="center"/>
    </xf>
    <xf numFmtId="4" fontId="2" fillId="0" borderId="0" xfId="0" applyNumberFormat="1" applyFont="1" applyBorder="1"/>
    <xf numFmtId="3" fontId="2" fillId="3" borderId="0" xfId="0" applyNumberFormat="1" applyFont="1" applyFill="1"/>
    <xf numFmtId="4" fontId="0" fillId="3" borderId="0" xfId="0" applyNumberFormat="1" applyFont="1" applyFill="1"/>
    <xf numFmtId="4" fontId="0" fillId="3" borderId="0" xfId="0" applyNumberFormat="1" applyFill="1"/>
    <xf numFmtId="3" fontId="15" fillId="3" borderId="0" xfId="0" applyNumberFormat="1" applyFont="1" applyFill="1"/>
    <xf numFmtId="3" fontId="0" fillId="3" borderId="0" xfId="0" applyNumberFormat="1" applyFont="1" applyFill="1"/>
    <xf numFmtId="3" fontId="0" fillId="3" borderId="0" xfId="0" applyNumberFormat="1" applyFill="1"/>
    <xf numFmtId="3" fontId="0" fillId="3" borderId="0" xfId="0" applyNumberFormat="1" applyFont="1" applyFill="1" applyAlignment="1">
      <alignment horizontal="center"/>
    </xf>
    <xf numFmtId="4" fontId="0" fillId="3" borderId="0" xfId="0" applyNumberFormat="1" applyFont="1" applyFill="1" applyAlignment="1">
      <alignment horizontal="center"/>
    </xf>
    <xf numFmtId="3" fontId="0" fillId="3" borderId="1" xfId="0" applyNumberFormat="1" applyFont="1" applyFill="1" applyBorder="1" applyAlignment="1">
      <alignment horizontal="center"/>
    </xf>
    <xf numFmtId="4" fontId="0" fillId="3" borderId="1" xfId="0" applyNumberFormat="1" applyFont="1" applyFill="1" applyBorder="1" applyAlignment="1">
      <alignment horizontal="center"/>
    </xf>
    <xf numFmtId="4" fontId="2" fillId="3" borderId="0" xfId="0" applyNumberFormat="1" applyFont="1" applyFill="1"/>
    <xf numFmtId="3" fontId="15" fillId="3" borderId="22" xfId="0" applyNumberFormat="1" applyFont="1" applyFill="1" applyBorder="1"/>
    <xf numFmtId="3" fontId="2" fillId="3" borderId="22" xfId="0" applyNumberFormat="1" applyFont="1" applyFill="1" applyBorder="1"/>
    <xf numFmtId="4" fontId="2" fillId="3" borderId="22" xfId="0" applyNumberFormat="1" applyFont="1" applyFill="1" applyBorder="1"/>
    <xf numFmtId="4" fontId="3" fillId="3" borderId="0" xfId="0" applyNumberFormat="1" applyFont="1" applyFill="1"/>
    <xf numFmtId="1" fontId="15" fillId="3" borderId="0" xfId="0" applyNumberFormat="1" applyFont="1" applyFill="1"/>
    <xf numFmtId="0" fontId="0" fillId="3" borderId="0" xfId="0" applyNumberFormat="1" applyFill="1"/>
    <xf numFmtId="0" fontId="2" fillId="3" borderId="0" xfId="0" applyNumberFormat="1" applyFont="1" applyFill="1"/>
    <xf numFmtId="1" fontId="0" fillId="0" borderId="0" xfId="0" applyNumberFormat="1" applyFont="1" applyFill="1"/>
    <xf numFmtId="3" fontId="0" fillId="3" borderId="0" xfId="0" applyNumberFormat="1" applyFont="1" applyFill="1" applyAlignment="1">
      <alignment horizontal="right"/>
    </xf>
    <xf numFmtId="4" fontId="0" fillId="4" borderId="0" xfId="0" applyNumberFormat="1" applyFont="1" applyFill="1"/>
    <xf numFmtId="4" fontId="15" fillId="4" borderId="0" xfId="0" applyNumberFormat="1" applyFont="1" applyFill="1"/>
    <xf numFmtId="4" fontId="2" fillId="4" borderId="6" xfId="0" applyNumberFormat="1" applyFont="1" applyFill="1" applyBorder="1"/>
    <xf numFmtId="4" fontId="6" fillId="4" borderId="0" xfId="0" applyNumberFormat="1" applyFont="1" applyFill="1"/>
    <xf numFmtId="3" fontId="6" fillId="4" borderId="0" xfId="0" applyNumberFormat="1" applyFont="1" applyFill="1"/>
    <xf numFmtId="1" fontId="0" fillId="0" borderId="0" xfId="0" applyNumberFormat="1" applyBorder="1"/>
    <xf numFmtId="4" fontId="0" fillId="0" borderId="0" xfId="0" applyNumberFormat="1" applyBorder="1"/>
    <xf numFmtId="3" fontId="2" fillId="0" borderId="0" xfId="0" applyNumberFormat="1" applyFont="1" applyBorder="1"/>
    <xf numFmtId="4" fontId="0" fillId="0" borderId="0" xfId="0" applyNumberFormat="1" applyFont="1" applyBorder="1"/>
    <xf numFmtId="0" fontId="0" fillId="4" borderId="0" xfId="0" applyNumberFormat="1" applyFont="1" applyFill="1"/>
    <xf numFmtId="3" fontId="15" fillId="4" borderId="0" xfId="0" applyNumberFormat="1" applyFont="1" applyFill="1"/>
    <xf numFmtId="3" fontId="0" fillId="4" borderId="0" xfId="0" applyNumberFormat="1" applyFont="1" applyFill="1"/>
    <xf numFmtId="4" fontId="3" fillId="4" borderId="0" xfId="0" applyNumberFormat="1" applyFont="1" applyFill="1"/>
    <xf numFmtId="3" fontId="0" fillId="4" borderId="0" xfId="0" applyNumberFormat="1" applyFill="1"/>
    <xf numFmtId="4" fontId="0" fillId="4" borderId="0" xfId="0" applyNumberFormat="1" applyFill="1"/>
    <xf numFmtId="4" fontId="0" fillId="4" borderId="0" xfId="0" applyNumberFormat="1" applyFont="1" applyFill="1" applyAlignment="1">
      <alignment horizontal="right"/>
    </xf>
    <xf numFmtId="3" fontId="15" fillId="4" borderId="0" xfId="0" applyNumberFormat="1" applyFont="1" applyFill="1" applyAlignment="1">
      <alignment horizontal="center"/>
    </xf>
    <xf numFmtId="4" fontId="0" fillId="4" borderId="0" xfId="0" applyNumberFormat="1" applyFont="1" applyFill="1" applyAlignment="1">
      <alignment horizontal="center"/>
    </xf>
    <xf numFmtId="3" fontId="15" fillId="4" borderId="1" xfId="0" applyNumberFormat="1" applyFont="1" applyFill="1" applyBorder="1" applyAlignment="1">
      <alignment horizontal="center"/>
    </xf>
    <xf numFmtId="4" fontId="0" fillId="4" borderId="1" xfId="0" applyNumberFormat="1" applyFont="1" applyFill="1" applyBorder="1" applyAlignment="1">
      <alignment horizontal="center"/>
    </xf>
    <xf numFmtId="1" fontId="15" fillId="4" borderId="0" xfId="0" applyNumberFormat="1" applyFont="1" applyFill="1"/>
    <xf numFmtId="4" fontId="5" fillId="4" borderId="0" xfId="0" applyNumberFormat="1" applyFont="1" applyFill="1"/>
    <xf numFmtId="3" fontId="2" fillId="4" borderId="6" xfId="0" applyNumberFormat="1" applyFont="1" applyFill="1" applyBorder="1"/>
    <xf numFmtId="3" fontId="5" fillId="4" borderId="0" xfId="0" applyNumberFormat="1" applyFont="1" applyFill="1"/>
    <xf numFmtId="4" fontId="0" fillId="4" borderId="0" xfId="0" applyNumberFormat="1" applyFont="1" applyFill="1" applyAlignment="1">
      <alignment horizontal="left"/>
    </xf>
    <xf numFmtId="0" fontId="0" fillId="4" borderId="0" xfId="0" applyNumberFormat="1" applyFill="1"/>
    <xf numFmtId="3" fontId="0" fillId="4" borderId="0" xfId="0" applyNumberFormat="1" applyFont="1" applyFill="1" applyBorder="1"/>
    <xf numFmtId="4" fontId="15" fillId="4" borderId="0" xfId="0" applyNumberFormat="1" applyFont="1" applyFill="1" applyAlignment="1">
      <alignment horizontal="center"/>
    </xf>
    <xf numFmtId="4" fontId="15" fillId="4" borderId="1" xfId="0" applyNumberFormat="1" applyFont="1" applyFill="1" applyBorder="1" applyAlignment="1">
      <alignment horizontal="center"/>
    </xf>
    <xf numFmtId="4" fontId="2" fillId="4" borderId="0" xfId="0" applyNumberFormat="1" applyFont="1" applyFill="1"/>
    <xf numFmtId="4" fontId="0" fillId="4" borderId="0" xfId="0" applyNumberFormat="1" applyFont="1" applyFill="1" applyBorder="1"/>
    <xf numFmtId="3" fontId="15" fillId="4" borderId="0" xfId="0" applyNumberFormat="1" applyFont="1" applyFill="1" applyAlignment="1">
      <alignment horizontal="right"/>
    </xf>
    <xf numFmtId="3" fontId="0" fillId="4" borderId="0" xfId="0" applyNumberFormat="1" applyFont="1" applyFill="1" applyAlignment="1">
      <alignment horizontal="right"/>
    </xf>
    <xf numFmtId="1" fontId="0" fillId="4" borderId="0" xfId="0" applyNumberFormat="1" applyFont="1" applyFill="1"/>
    <xf numFmtId="1" fontId="0" fillId="4" borderId="0" xfId="0" applyNumberFormat="1" applyFont="1" applyFill="1" applyBorder="1"/>
    <xf numFmtId="3" fontId="2" fillId="4" borderId="22" xfId="0" applyNumberFormat="1" applyFont="1" applyFill="1" applyBorder="1"/>
    <xf numFmtId="4" fontId="2" fillId="4" borderId="22" xfId="0" applyNumberFormat="1" applyFont="1" applyFill="1" applyBorder="1"/>
    <xf numFmtId="4" fontId="0" fillId="0" borderId="0" xfId="0" applyNumberFormat="1" applyFont="1" applyFill="1" applyBorder="1" applyAlignment="1">
      <alignment horizontal="center"/>
    </xf>
    <xf numFmtId="4" fontId="2" fillId="0" borderId="0" xfId="0" applyNumberFormat="1" applyFont="1" applyFill="1" applyBorder="1"/>
    <xf numFmtId="0" fontId="0" fillId="4" borderId="0" xfId="0" applyFill="1"/>
    <xf numFmtId="3" fontId="17" fillId="0" borderId="0" xfId="0" applyNumberFormat="1" applyFont="1"/>
    <xf numFmtId="4" fontId="7" fillId="4" borderId="0" xfId="0" applyNumberFormat="1" applyFont="1" applyFill="1"/>
    <xf numFmtId="4" fontId="15" fillId="4" borderId="1" xfId="0" applyNumberFormat="1" applyFont="1" applyFill="1" applyBorder="1"/>
    <xf numFmtId="3" fontId="15" fillId="5" borderId="0" xfId="0" applyNumberFormat="1" applyFont="1" applyFill="1"/>
    <xf numFmtId="4" fontId="21" fillId="4" borderId="0" xfId="0" applyNumberFormat="1" applyFont="1" applyFill="1"/>
    <xf numFmtId="0" fontId="6" fillId="3" borderId="0" xfId="0" applyNumberFormat="1" applyFont="1" applyFill="1" applyBorder="1" applyAlignment="1">
      <alignment horizontal="center"/>
    </xf>
    <xf numFmtId="3" fontId="6" fillId="3" borderId="0" xfId="0" applyNumberFormat="1" applyFont="1" applyFill="1" applyBorder="1" applyAlignment="1">
      <alignment horizontal="center"/>
    </xf>
    <xf numFmtId="4" fontId="6" fillId="4" borderId="0" xfId="0" applyNumberFormat="1" applyFont="1" applyFill="1" applyBorder="1" applyAlignment="1">
      <alignment horizontal="center"/>
    </xf>
    <xf numFmtId="4" fontId="6" fillId="3" borderId="0" xfId="0" applyNumberFormat="1" applyFont="1" applyFill="1" applyBorder="1" applyAlignment="1">
      <alignment horizontal="center"/>
    </xf>
    <xf numFmtId="10" fontId="1" fillId="0" borderId="0" xfId="33" applyNumberFormat="1"/>
    <xf numFmtId="10" fontId="0" fillId="0" borderId="0" xfId="33" applyNumberFormat="1" applyFont="1"/>
    <xf numFmtId="0" fontId="2" fillId="4" borderId="0" xfId="0" applyNumberFormat="1" applyFont="1" applyFill="1"/>
    <xf numFmtId="3" fontId="2" fillId="4" borderId="0" xfId="0" applyNumberFormat="1" applyFont="1" applyFill="1"/>
    <xf numFmtId="4" fontId="21" fillId="4" borderId="0" xfId="0" applyNumberFormat="1" applyFont="1" applyFill="1" applyAlignment="1">
      <alignment horizontal="center"/>
    </xf>
    <xf numFmtId="4" fontId="21" fillId="4" borderId="1" xfId="0" applyNumberFormat="1" applyFont="1" applyFill="1" applyBorder="1" applyAlignment="1">
      <alignment horizontal="center"/>
    </xf>
    <xf numFmtId="4" fontId="24" fillId="4" borderId="0" xfId="0" applyNumberFormat="1" applyFont="1" applyFill="1"/>
    <xf numFmtId="4" fontId="24" fillId="4" borderId="22" xfId="0" applyNumberFormat="1" applyFont="1" applyFill="1" applyBorder="1"/>
    <xf numFmtId="4" fontId="24" fillId="4" borderId="6" xfId="0" applyNumberFormat="1" applyFont="1" applyFill="1" applyBorder="1"/>
    <xf numFmtId="2" fontId="21" fillId="4" borderId="0" xfId="0" applyNumberFormat="1" applyFont="1" applyFill="1"/>
    <xf numFmtId="4" fontId="21" fillId="4" borderId="0" xfId="0" applyNumberFormat="1" applyFont="1" applyFill="1" applyBorder="1"/>
    <xf numFmtId="4" fontId="21" fillId="4" borderId="0" xfId="0" applyNumberFormat="1" applyFont="1" applyFill="1" applyBorder="1" applyAlignment="1">
      <alignment horizontal="center"/>
    </xf>
    <xf numFmtId="4" fontId="24" fillId="4" borderId="0" xfId="0" applyNumberFormat="1" applyFont="1" applyFill="1" applyBorder="1"/>
    <xf numFmtId="3" fontId="23" fillId="0" borderId="0" xfId="0" applyNumberFormat="1" applyFont="1" applyBorder="1" applyAlignment="1">
      <alignment horizontal="justify" vertical="center" wrapText="1"/>
    </xf>
    <xf numFmtId="4" fontId="23" fillId="0" borderId="0" xfId="0" applyNumberFormat="1" applyFont="1" applyBorder="1" applyAlignment="1">
      <alignment horizontal="justify" vertical="center" wrapText="1"/>
    </xf>
    <xf numFmtId="6" fontId="22" fillId="0" borderId="0" xfId="0" applyNumberFormat="1" applyFont="1" applyBorder="1" applyAlignment="1">
      <alignment horizontal="center" vertical="center" wrapText="1"/>
    </xf>
    <xf numFmtId="4" fontId="22" fillId="0" borderId="0" xfId="0" applyNumberFormat="1" applyFont="1" applyBorder="1" applyAlignment="1">
      <alignment horizontal="center" vertical="center" wrapText="1"/>
    </xf>
    <xf numFmtId="9" fontId="1" fillId="0" borderId="0" xfId="33"/>
    <xf numFmtId="4" fontId="23" fillId="0" borderId="0" xfId="0" applyNumberFormat="1" applyFont="1"/>
    <xf numFmtId="166" fontId="2" fillId="0" borderId="0" xfId="33" applyNumberFormat="1" applyFont="1" applyBorder="1"/>
    <xf numFmtId="3" fontId="21" fillId="4" borderId="0" xfId="0" applyNumberFormat="1" applyFont="1" applyFill="1"/>
    <xf numFmtId="0" fontId="8" fillId="3" borderId="0" xfId="0" applyNumberFormat="1" applyFont="1" applyFill="1" applyBorder="1"/>
    <xf numFmtId="3" fontId="6" fillId="3" borderId="0" xfId="0" applyNumberFormat="1" applyFont="1" applyFill="1" applyBorder="1"/>
    <xf numFmtId="3" fontId="8" fillId="3" borderId="0" xfId="0" applyNumberFormat="1" applyFont="1" applyFill="1" applyBorder="1"/>
    <xf numFmtId="4" fontId="6" fillId="4" borderId="0" xfId="0" applyNumberFormat="1" applyFont="1" applyFill="1" applyBorder="1"/>
    <xf numFmtId="4" fontId="6" fillId="3" borderId="0" xfId="0" applyNumberFormat="1" applyFont="1" applyFill="1" applyBorder="1"/>
    <xf numFmtId="0" fontId="0" fillId="0" borderId="0" xfId="0" applyBorder="1"/>
    <xf numFmtId="0" fontId="6" fillId="3" borderId="0" xfId="0" applyNumberFormat="1" applyFont="1" applyFill="1" applyBorder="1"/>
    <xf numFmtId="3" fontId="6" fillId="4" borderId="0" xfId="0" applyNumberFormat="1" applyFont="1" applyFill="1" applyBorder="1" applyAlignment="1">
      <alignment horizontal="center"/>
    </xf>
    <xf numFmtId="3" fontId="25" fillId="3" borderId="0" xfId="0" applyNumberFormat="1" applyFont="1" applyFill="1" applyBorder="1"/>
    <xf numFmtId="3" fontId="6" fillId="4" borderId="0" xfId="0" applyNumberFormat="1" applyFont="1" applyFill="1" applyBorder="1"/>
    <xf numFmtId="3" fontId="8" fillId="3" borderId="0" xfId="0" applyNumberFormat="1" applyFont="1" applyFill="1" applyBorder="1" applyAlignment="1">
      <alignment horizontal="center"/>
    </xf>
    <xf numFmtId="3" fontId="8" fillId="4" borderId="0" xfId="0" applyNumberFormat="1" applyFont="1" applyFill="1" applyBorder="1" applyAlignment="1">
      <alignment horizontal="center"/>
    </xf>
    <xf numFmtId="3" fontId="8" fillId="4" borderId="0" xfId="0" applyNumberFormat="1" applyFont="1" applyFill="1" applyBorder="1"/>
    <xf numFmtId="4" fontId="8" fillId="4" borderId="0" xfId="0" applyNumberFormat="1" applyFont="1" applyFill="1" applyBorder="1"/>
    <xf numFmtId="0" fontId="6" fillId="4" borderId="0" xfId="0" applyNumberFormat="1" applyFont="1" applyFill="1" applyBorder="1"/>
    <xf numFmtId="0" fontId="0" fillId="4" borderId="0" xfId="0" applyFill="1" applyBorder="1"/>
    <xf numFmtId="4" fontId="0" fillId="4" borderId="0" xfId="0" applyNumberFormat="1" applyFill="1" applyBorder="1"/>
    <xf numFmtId="4" fontId="20" fillId="4" borderId="0" xfId="0" applyNumberFormat="1" applyFont="1" applyFill="1" applyBorder="1"/>
    <xf numFmtId="4" fontId="8" fillId="3" borderId="0" xfId="0" applyNumberFormat="1" applyFont="1" applyFill="1" applyBorder="1"/>
    <xf numFmtId="0" fontId="0" fillId="4" borderId="0" xfId="0" applyFont="1" applyFill="1" applyBorder="1"/>
    <xf numFmtId="4" fontId="6" fillId="4" borderId="0" xfId="0" applyNumberFormat="1" applyFont="1" applyFill="1" applyBorder="1" applyAlignment="1">
      <alignment horizontal="right"/>
    </xf>
    <xf numFmtId="2" fontId="6" fillId="4" borderId="0" xfId="0" applyNumberFormat="1" applyFont="1" applyFill="1" applyBorder="1"/>
    <xf numFmtId="3" fontId="20" fillId="4" borderId="0" xfId="0" applyNumberFormat="1" applyFont="1" applyFill="1" applyBorder="1" applyAlignment="1">
      <alignment horizontal="center"/>
    </xf>
    <xf numFmtId="0" fontId="17" fillId="4" borderId="0" xfId="0" applyFont="1" applyFill="1" applyBorder="1"/>
    <xf numFmtId="2" fontId="0" fillId="4" borderId="0" xfId="0" applyNumberFormat="1" applyFont="1" applyFill="1" applyBorder="1"/>
    <xf numFmtId="0" fontId="0" fillId="4" borderId="0" xfId="0" applyFont="1" applyFill="1"/>
    <xf numFmtId="4" fontId="17" fillId="4" borderId="0" xfId="0" applyNumberFormat="1" applyFont="1" applyFill="1"/>
    <xf numFmtId="165" fontId="6" fillId="4" borderId="0" xfId="2" applyFont="1" applyFill="1" applyBorder="1"/>
    <xf numFmtId="3" fontId="15" fillId="0" borderId="1" xfId="0" applyNumberFormat="1" applyFont="1" applyBorder="1" applyAlignment="1">
      <alignment vertical="center"/>
    </xf>
    <xf numFmtId="3" fontId="15" fillId="0" borderId="1" xfId="0" applyNumberFormat="1" applyFont="1" applyFill="1" applyBorder="1" applyAlignment="1">
      <alignment vertical="center"/>
    </xf>
    <xf numFmtId="3" fontId="0" fillId="3" borderId="1" xfId="0" applyNumberFormat="1" applyFont="1" applyFill="1" applyBorder="1" applyAlignment="1">
      <alignment vertical="center"/>
    </xf>
    <xf numFmtId="3" fontId="0" fillId="4" borderId="1" xfId="0" applyNumberFormat="1" applyFont="1" applyFill="1" applyBorder="1" applyAlignment="1">
      <alignment horizontal="center" vertical="center"/>
    </xf>
    <xf numFmtId="3" fontId="0" fillId="4" borderId="0" xfId="0" applyNumberFormat="1" applyFill="1" applyBorder="1" applyAlignment="1">
      <alignment horizontal="center" vertical="center"/>
    </xf>
    <xf numFmtId="0" fontId="0" fillId="4" borderId="5" xfId="0" applyFill="1" applyBorder="1" applyAlignment="1">
      <alignment horizontal="center" vertical="center"/>
    </xf>
    <xf numFmtId="3" fontId="15" fillId="0" borderId="1" xfId="0" applyNumberFormat="1" applyFont="1" applyBorder="1" applyAlignment="1">
      <alignment horizontal="center" vertical="center"/>
    </xf>
    <xf numFmtId="3" fontId="15" fillId="0" borderId="0" xfId="0" applyNumberFormat="1" applyFont="1" applyFill="1" applyBorder="1" applyAlignment="1">
      <alignment horizontal="center" vertical="center"/>
    </xf>
    <xf numFmtId="0" fontId="15" fillId="0" borderId="5" xfId="0" applyFont="1" applyFill="1" applyBorder="1" applyAlignment="1">
      <alignment horizontal="center" vertical="center"/>
    </xf>
    <xf numFmtId="4" fontId="14" fillId="0" borderId="0" xfId="0" applyNumberFormat="1" applyFont="1" applyAlignment="1">
      <alignment horizontal="center"/>
    </xf>
    <xf numFmtId="3" fontId="15" fillId="0" borderId="0" xfId="0" applyNumberFormat="1" applyFont="1" applyBorder="1" applyAlignment="1">
      <alignment horizontal="left" vertical="center"/>
    </xf>
    <xf numFmtId="3" fontId="15" fillId="0" borderId="1" xfId="0" applyNumberFormat="1" applyFont="1" applyBorder="1" applyAlignment="1">
      <alignment horizontal="left" vertical="center"/>
    </xf>
    <xf numFmtId="3" fontId="0" fillId="0" borderId="1" xfId="0" applyNumberFormat="1" applyFont="1" applyBorder="1" applyAlignment="1">
      <alignment horizontal="center" vertical="center"/>
    </xf>
    <xf numFmtId="0" fontId="8" fillId="0" borderId="8" xfId="0" applyFont="1" applyBorder="1" applyAlignment="1" applyProtection="1">
      <alignment horizontal="center" vertical="top"/>
    </xf>
    <xf numFmtId="0" fontId="6" fillId="0" borderId="10" xfId="0" applyFont="1" applyBorder="1" applyAlignment="1" applyProtection="1"/>
    <xf numFmtId="0" fontId="6" fillId="0" borderId="11" xfId="0" applyFont="1" applyBorder="1" applyAlignment="1" applyProtection="1"/>
    <xf numFmtId="0" fontId="9" fillId="2" borderId="0" xfId="0" applyFont="1" applyFill="1" applyAlignment="1" applyProtection="1">
      <alignment horizontal="center" vertical="top"/>
      <protection locked="0"/>
    </xf>
    <xf numFmtId="0" fontId="2" fillId="0" borderId="0" xfId="0" applyFont="1" applyAlignment="1" applyProtection="1">
      <alignment horizontal="left"/>
    </xf>
    <xf numFmtId="0" fontId="10" fillId="0" borderId="5" xfId="0" applyFont="1" applyBorder="1" applyAlignment="1" applyProtection="1">
      <alignment horizontal="left" vertical="top"/>
    </xf>
    <xf numFmtId="0" fontId="8" fillId="0" borderId="25" xfId="0" applyFont="1" applyBorder="1" applyAlignment="1" applyProtection="1">
      <alignment horizontal="left" vertical="top"/>
      <protection locked="0"/>
    </xf>
    <xf numFmtId="0" fontId="8" fillId="0" borderId="26" xfId="0" applyFont="1" applyBorder="1" applyAlignment="1" applyProtection="1">
      <alignment horizontal="left" vertical="top"/>
      <protection locked="0"/>
    </xf>
    <xf numFmtId="0" fontId="6" fillId="0" borderId="25" xfId="0" applyFont="1" applyBorder="1" applyAlignment="1" applyProtection="1"/>
    <xf numFmtId="0" fontId="6" fillId="0" borderId="6" xfId="0" applyFont="1" applyBorder="1" applyAlignment="1" applyProtection="1"/>
    <xf numFmtId="0" fontId="2" fillId="0" borderId="0" xfId="0" applyFont="1" applyAlignment="1" applyProtection="1">
      <alignment horizontal="left" vertical="top"/>
    </xf>
    <xf numFmtId="0" fontId="10" fillId="0" borderId="0" xfId="0" applyFont="1" applyAlignment="1" applyProtection="1">
      <alignment horizontal="justify" vertical="top"/>
      <protection locked="0"/>
    </xf>
    <xf numFmtId="0" fontId="8" fillId="0" borderId="24" xfId="0" applyFont="1" applyBorder="1" applyAlignment="1" applyProtection="1">
      <alignment horizontal="center" vertical="top"/>
    </xf>
    <xf numFmtId="0" fontId="10" fillId="0" borderId="0" xfId="0" applyFont="1" applyAlignment="1" applyProtection="1">
      <alignment horizontal="justify" vertical="top" wrapText="1"/>
      <protection locked="0"/>
    </xf>
    <xf numFmtId="0" fontId="8" fillId="0" borderId="25" xfId="0" applyFont="1" applyBorder="1" applyAlignment="1" applyProtection="1"/>
    <xf numFmtId="0" fontId="8" fillId="0" borderId="6" xfId="0" applyFont="1" applyBorder="1" applyAlignment="1" applyProtection="1"/>
    <xf numFmtId="0" fontId="12" fillId="0" borderId="23" xfId="0" quotePrefix="1" applyFont="1" applyBorder="1" applyAlignment="1" applyProtection="1">
      <alignment horizontal="left" vertical="top"/>
    </xf>
    <xf numFmtId="0" fontId="12" fillId="0" borderId="0" xfId="0" quotePrefix="1" applyFont="1" applyBorder="1" applyAlignment="1" applyProtection="1">
      <alignment horizontal="left" vertical="top"/>
    </xf>
    <xf numFmtId="0" fontId="12" fillId="0" borderId="0" xfId="0" applyFont="1" applyAlignment="1" applyProtection="1">
      <alignment horizontal="left" vertical="top"/>
    </xf>
  </cellXfs>
  <cellStyles count="34">
    <cellStyle name="Euro" xfId="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xfId="27" builtinId="8" hidden="1"/>
    <cellStyle name="Hipervínculo" xfId="29" builtinId="8" hidden="1"/>
    <cellStyle name="Hipervínculo" xfId="31" builtinId="8"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28" builtinId="9" hidden="1"/>
    <cellStyle name="Hipervínculo visitado" xfId="30" builtinId="9" hidden="1"/>
    <cellStyle name="Hipervínculo visitado" xfId="32" builtinId="9" hidden="1"/>
    <cellStyle name="Millares" xfId="2" builtinId="3"/>
    <cellStyle name="Normal" xfId="0" builtinId="0"/>
    <cellStyle name="Porcentaje" xfId="3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EB613D"/>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C$5" lockText="1" noThreeD="1"/>
</file>

<file path=xl/ctrlProps/ctrlProp2.xml><?xml version="1.0" encoding="utf-8"?>
<formControlPr xmlns="http://schemas.microsoft.com/office/spreadsheetml/2009/9/main" objectType="CheckBox" fmlaLink="$C$6" lockText="1" noThreeD="1"/>
</file>

<file path=xl/ctrlProps/ctrlProp3.xml><?xml version="1.0" encoding="utf-8"?>
<formControlPr xmlns="http://schemas.microsoft.com/office/spreadsheetml/2009/9/main" objectType="CheckBox" fmlaLink="$C$7"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866775</xdr:colOff>
          <xdr:row>3</xdr:row>
          <xdr:rowOff>142875</xdr:rowOff>
        </xdr:from>
        <xdr:to>
          <xdr:col>2</xdr:col>
          <xdr:colOff>1362075</xdr:colOff>
          <xdr:row>4</xdr:row>
          <xdr:rowOff>190500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xmlns="" id="{00000000-0008-0000-05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ca-ES" sz="800" b="0" i="0" u="none" strike="noStrike" baseline="0">
                  <a:solidFill>
                    <a:srgbClr val="000000"/>
                  </a:solidFill>
                  <a:latin typeface="Tahoma"/>
                  <a:ea typeface="Tahoma"/>
                  <a:cs typeface="Tahoma"/>
                </a:rPr>
                <a:t>Aprovació del pressupost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1171575</xdr:colOff>
          <xdr:row>3</xdr:row>
          <xdr:rowOff>142875</xdr:rowOff>
        </xdr:from>
        <xdr:to>
          <xdr:col>3</xdr:col>
          <xdr:colOff>609600</xdr:colOff>
          <xdr:row>4</xdr:row>
          <xdr:rowOff>190500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xmlns="" id="{00000000-0008-0000-05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ca-ES" sz="800" b="0" i="0" u="none" strike="noStrike" baseline="0">
                  <a:solidFill>
                    <a:srgbClr val="000000"/>
                  </a:solidFill>
                  <a:latin typeface="Tahoma"/>
                  <a:ea typeface="Tahoma"/>
                  <a:cs typeface="Tahoma"/>
                </a:rPr>
                <a:t>Modificació del pressupost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3</xdr:row>
          <xdr:rowOff>142875</xdr:rowOff>
        </xdr:from>
        <xdr:to>
          <xdr:col>5</xdr:col>
          <xdr:colOff>276225</xdr:colOff>
          <xdr:row>4</xdr:row>
          <xdr:rowOff>190500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xmlns="" id="{00000000-0008-0000-05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ca-ES" sz="800" b="0" i="0" u="none" strike="noStrike" baseline="0">
                  <a:solidFill>
                    <a:srgbClr val="000000"/>
                  </a:solidFill>
                  <a:latin typeface="Tahoma"/>
                  <a:ea typeface="Tahoma"/>
                  <a:cs typeface="Tahoma"/>
                </a:rPr>
                <a:t>Liquidació del pressupost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28575</xdr:rowOff>
        </xdr:from>
        <xdr:to>
          <xdr:col>0</xdr:col>
          <xdr:colOff>304800</xdr:colOff>
          <xdr:row>36</xdr:row>
          <xdr:rowOff>85725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xmlns="" id="{00000000-0008-0000-05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1</xdr:col>
          <xdr:colOff>0</xdr:colOff>
          <xdr:row>42</xdr:row>
          <xdr:rowOff>0</xdr:rowOff>
        </xdr:to>
        <xdr:sp macro="" textlink="">
          <xdr:nvSpPr>
            <xdr:cNvPr id="1029" name="Check Box 5" descr="D'acord amb el càlcul anterior, no s'han assolits els objectius fixats, en materia d'estabilitat pressupostaria, en el tràmit motiu de l'informe.&#10;&#10;Per aquest motiu, i d'acrod amb els articles 19, 20, 21 i 26 del Reglament .... calldrà procedir a  aprovar " hidden="1">
              <a:extLst>
                <a:ext uri="{63B3BB69-23CF-44E3-9099-C40C66FF867C}">
                  <a14:compatExt spid="_x0000_s1029"/>
                </a:ext>
                <a:ext uri="{FF2B5EF4-FFF2-40B4-BE49-F238E27FC236}">
                  <a16:creationId xmlns:a16="http://schemas.microsoft.com/office/drawing/2014/main" xmlns="" id="{00000000-0008-0000-05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44</xdr:row>
          <xdr:rowOff>104775</xdr:rowOff>
        </xdr:from>
        <xdr:to>
          <xdr:col>1</xdr:col>
          <xdr:colOff>9525</xdr:colOff>
          <xdr:row>47</xdr:row>
          <xdr:rowOff>114300</xdr:rowOff>
        </xdr:to>
        <xdr:sp macro="" textlink="">
          <xdr:nvSpPr>
            <xdr:cNvPr id="1030" name="Check Box 6" descr="D'acord amb el càlcul anterior, no s'han assolits els objectius fixats, en materia d'estabilitat pressupostaria, en el tràmit motiu de l'informe.&#10;&#10;Per aquest motiu, i d'acrod amb els articles 19, 20, 21 i 26 del Reglament .... calldrà procedir a  aprovar " hidden="1">
              <a:extLst>
                <a:ext uri="{63B3BB69-23CF-44E3-9099-C40C66FF867C}">
                  <a14:compatExt spid="_x0000_s1030"/>
                </a:ext>
                <a:ext uri="{FF2B5EF4-FFF2-40B4-BE49-F238E27FC236}">
                  <a16:creationId xmlns:a16="http://schemas.microsoft.com/office/drawing/2014/main" xmlns="" id="{00000000-0008-0000-05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56</xdr:row>
          <xdr:rowOff>28575</xdr:rowOff>
        </xdr:from>
        <xdr:to>
          <xdr:col>1</xdr:col>
          <xdr:colOff>0</xdr:colOff>
          <xdr:row>58</xdr:row>
          <xdr:rowOff>152400</xdr:rowOff>
        </xdr:to>
        <xdr:sp macro="" textlink="">
          <xdr:nvSpPr>
            <xdr:cNvPr id="1031" name="Check Box 7" descr="D'acord amb el càlcul anterior, no s'han assolits els objectius fixats, en materia d'estabilitat pressupostaria, en el tràmit motiu de l'informe.&#10;&#10;Per aquest motiu, i d'acrod amb els articles 19, 20, 21 i 26 del Reglament .... calldrà procedir a  aprovar " hidden="1">
              <a:extLst>
                <a:ext uri="{63B3BB69-23CF-44E3-9099-C40C66FF867C}">
                  <a14:compatExt spid="_x0000_s1031"/>
                </a:ext>
                <a:ext uri="{FF2B5EF4-FFF2-40B4-BE49-F238E27FC236}">
                  <a16:creationId xmlns:a16="http://schemas.microsoft.com/office/drawing/2014/main" xmlns="" id="{00000000-0008-0000-05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52</xdr:row>
          <xdr:rowOff>76200</xdr:rowOff>
        </xdr:from>
        <xdr:to>
          <xdr:col>1</xdr:col>
          <xdr:colOff>9525</xdr:colOff>
          <xdr:row>54</xdr:row>
          <xdr:rowOff>142875</xdr:rowOff>
        </xdr:to>
        <xdr:sp macro="" textlink="">
          <xdr:nvSpPr>
            <xdr:cNvPr id="1032" name="Check Box 8" descr="D'acord amb el càlcul anterior, no s'han assolits els objectius fixats, en materia d'estabilitat pressupostaria, en el tràmit motiu de l'informe.&#10;&#10;Per aquest motiu, i d'acrod amb els articles 19, 20, 21 i 26 del Reglament .... calldrà procedir a  aprovar " hidden="1">
              <a:extLst>
                <a:ext uri="{63B3BB69-23CF-44E3-9099-C40C66FF867C}">
                  <a14:compatExt spid="_x0000_s1032"/>
                </a:ext>
                <a:ext uri="{FF2B5EF4-FFF2-40B4-BE49-F238E27FC236}">
                  <a16:creationId xmlns:a16="http://schemas.microsoft.com/office/drawing/2014/main" xmlns="" id="{00000000-0008-0000-05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O66"/>
  <sheetViews>
    <sheetView showGridLines="0" zoomScale="110" zoomScaleNormal="110" workbookViewId="0">
      <selection activeCell="D18" sqref="D18"/>
    </sheetView>
  </sheetViews>
  <sheetFormatPr baseColWidth="10" defaultColWidth="11.42578125" defaultRowHeight="12.75" x14ac:dyDescent="0.2"/>
  <cols>
    <col min="1" max="1" width="7" style="1" customWidth="1"/>
    <col min="2" max="2" width="45.42578125" style="1" customWidth="1"/>
    <col min="3" max="3" width="14.5703125" style="2" customWidth="1"/>
    <col min="4" max="4" width="12" style="2" customWidth="1"/>
    <col min="5" max="5" width="14" style="2" customWidth="1"/>
    <col min="6" max="6" width="4" style="2" customWidth="1"/>
    <col min="7" max="16384" width="11.42578125" style="1"/>
  </cols>
  <sheetData>
    <row r="1" spans="1:6" x14ac:dyDescent="0.2">
      <c r="A1" s="183" t="s">
        <v>274</v>
      </c>
      <c r="B1" s="145"/>
      <c r="C1" s="133"/>
    </row>
    <row r="2" spans="1:6" x14ac:dyDescent="0.2">
      <c r="A2" s="184" t="s">
        <v>0</v>
      </c>
      <c r="B2" s="142"/>
      <c r="C2" s="133"/>
    </row>
    <row r="3" spans="1:6" x14ac:dyDescent="0.2">
      <c r="A3" s="93"/>
      <c r="B3" s="93"/>
      <c r="C3" s="91"/>
    </row>
    <row r="4" spans="1:6" s="4" customFormat="1" x14ac:dyDescent="0.2">
      <c r="A4" s="4" t="s">
        <v>1</v>
      </c>
      <c r="C4" s="77"/>
      <c r="D4" s="77"/>
      <c r="E4" s="77"/>
      <c r="F4" s="77"/>
    </row>
    <row r="5" spans="1:6" x14ac:dyDescent="0.2">
      <c r="A5" s="93"/>
      <c r="B5" s="93"/>
      <c r="C5" s="91"/>
    </row>
    <row r="6" spans="1:6" x14ac:dyDescent="0.2">
      <c r="A6" s="230" t="s">
        <v>2</v>
      </c>
      <c r="B6" s="230"/>
      <c r="C6" s="91"/>
      <c r="D6" s="5" t="s">
        <v>3</v>
      </c>
      <c r="E6" s="5" t="s">
        <v>3</v>
      </c>
      <c r="F6" s="5"/>
    </row>
    <row r="7" spans="1:6" x14ac:dyDescent="0.2">
      <c r="A7" s="230"/>
      <c r="B7" s="230"/>
      <c r="C7" s="99"/>
      <c r="D7" s="6" t="s">
        <v>4</v>
      </c>
      <c r="E7" s="6" t="s">
        <v>5</v>
      </c>
      <c r="F7" s="110"/>
    </row>
    <row r="8" spans="1:6" x14ac:dyDescent="0.2">
      <c r="A8" s="93"/>
      <c r="B8" s="93"/>
      <c r="C8" s="91"/>
    </row>
    <row r="9" spans="1:6" x14ac:dyDescent="0.2">
      <c r="A9" s="93" t="s">
        <v>6</v>
      </c>
      <c r="B9" s="93"/>
      <c r="C9" s="91"/>
      <c r="D9" s="2">
        <v>0</v>
      </c>
    </row>
    <row r="10" spans="1:6" x14ac:dyDescent="0.2">
      <c r="A10" s="93" t="s">
        <v>7</v>
      </c>
      <c r="B10" s="93"/>
      <c r="C10" s="91"/>
      <c r="D10" s="146">
        <v>0</v>
      </c>
      <c r="E10" s="146"/>
    </row>
    <row r="11" spans="1:6" x14ac:dyDescent="0.2">
      <c r="A11" s="93" t="s">
        <v>8</v>
      </c>
      <c r="B11" s="93"/>
      <c r="C11" s="91"/>
      <c r="D11" s="146">
        <f>E42</f>
        <v>510398.74</v>
      </c>
      <c r="E11" s="146"/>
    </row>
    <row r="12" spans="1:6" x14ac:dyDescent="0.2">
      <c r="A12" s="93" t="s">
        <v>9</v>
      </c>
      <c r="B12" s="93"/>
      <c r="C12" s="91"/>
      <c r="D12" s="146">
        <f>E54</f>
        <v>2246194.6</v>
      </c>
      <c r="E12" s="146"/>
    </row>
    <row r="13" spans="1:6" x14ac:dyDescent="0.2">
      <c r="A13" s="93" t="s">
        <v>10</v>
      </c>
      <c r="B13" s="93"/>
      <c r="C13" s="91"/>
      <c r="D13" s="146">
        <v>0</v>
      </c>
      <c r="E13" s="146"/>
    </row>
    <row r="14" spans="1:6" x14ac:dyDescent="0.2">
      <c r="A14" s="93"/>
      <c r="B14" s="93"/>
      <c r="C14" s="91"/>
      <c r="D14" s="146"/>
      <c r="E14" s="146"/>
    </row>
    <row r="15" spans="1:6" s="4" customFormat="1" x14ac:dyDescent="0.2">
      <c r="A15" s="4" t="s">
        <v>11</v>
      </c>
      <c r="C15" s="77"/>
      <c r="D15" s="161"/>
      <c r="E15" s="161">
        <f>SUM(D9:D13)</f>
        <v>2756593.34</v>
      </c>
      <c r="F15" s="77"/>
    </row>
    <row r="16" spans="1:6" x14ac:dyDescent="0.2">
      <c r="A16" s="93"/>
      <c r="B16" s="93"/>
      <c r="C16" s="91"/>
      <c r="D16" s="146"/>
      <c r="E16" s="146"/>
    </row>
    <row r="17" spans="1:15" x14ac:dyDescent="0.2">
      <c r="A17" s="93" t="s">
        <v>12</v>
      </c>
      <c r="B17" s="93"/>
      <c r="C17" s="91"/>
      <c r="D17" s="146">
        <v>0</v>
      </c>
      <c r="E17" s="146"/>
    </row>
    <row r="18" spans="1:15" x14ac:dyDescent="0.2">
      <c r="A18" s="93" t="s">
        <v>13</v>
      </c>
      <c r="B18" s="93"/>
      <c r="C18" s="91"/>
      <c r="D18" s="146">
        <f>E61</f>
        <v>37516</v>
      </c>
      <c r="E18" s="146"/>
    </row>
    <row r="19" spans="1:15" x14ac:dyDescent="0.2">
      <c r="A19" s="93"/>
      <c r="B19" s="93"/>
      <c r="C19" s="91"/>
      <c r="D19" s="146"/>
      <c r="E19" s="146"/>
    </row>
    <row r="20" spans="1:15" s="4" customFormat="1" x14ac:dyDescent="0.2">
      <c r="A20" s="4" t="s">
        <v>14</v>
      </c>
      <c r="C20" s="77"/>
      <c r="D20" s="161"/>
      <c r="E20" s="161">
        <f>SUM(D17:D18)</f>
        <v>37516</v>
      </c>
      <c r="F20" s="77"/>
    </row>
    <row r="21" spans="1:15" x14ac:dyDescent="0.2">
      <c r="A21" s="93"/>
      <c r="B21" s="93"/>
      <c r="C21" s="91"/>
      <c r="D21" s="146"/>
      <c r="E21" s="146"/>
    </row>
    <row r="22" spans="1:15" x14ac:dyDescent="0.2">
      <c r="A22" s="93" t="s">
        <v>15</v>
      </c>
      <c r="B22" s="93"/>
      <c r="C22" s="91"/>
      <c r="D22" s="146">
        <v>0</v>
      </c>
      <c r="E22" s="146"/>
    </row>
    <row r="23" spans="1:15" x14ac:dyDescent="0.2">
      <c r="A23" s="93" t="s">
        <v>16</v>
      </c>
      <c r="B23" s="93"/>
      <c r="C23" s="91"/>
      <c r="D23" s="146">
        <v>0</v>
      </c>
      <c r="E23" s="146"/>
    </row>
    <row r="24" spans="1:15" x14ac:dyDescent="0.2">
      <c r="A24" s="93"/>
      <c r="B24" s="93"/>
      <c r="C24" s="91"/>
      <c r="D24" s="146"/>
      <c r="E24" s="146"/>
    </row>
    <row r="25" spans="1:15" s="4" customFormat="1" x14ac:dyDescent="0.2">
      <c r="A25" s="4" t="s">
        <v>17</v>
      </c>
      <c r="C25" s="77"/>
      <c r="D25" s="161"/>
      <c r="E25" s="161">
        <f>SUM(D22:D23)</f>
        <v>0</v>
      </c>
      <c r="F25" s="77"/>
    </row>
    <row r="26" spans="1:15" x14ac:dyDescent="0.2">
      <c r="A26" s="93"/>
      <c r="B26" s="93"/>
      <c r="C26" s="91"/>
      <c r="D26" s="146"/>
      <c r="E26" s="146"/>
    </row>
    <row r="27" spans="1:15" ht="13.5" thickBot="1" x14ac:dyDescent="0.25">
      <c r="A27" s="78" t="s">
        <v>18</v>
      </c>
      <c r="B27" s="78"/>
      <c r="C27" s="79"/>
      <c r="D27" s="168"/>
      <c r="E27" s="168">
        <f>SUM(E9:E25)</f>
        <v>2794109.34</v>
      </c>
      <c r="F27" s="111"/>
    </row>
    <row r="28" spans="1:15" ht="13.5" thickTop="1" x14ac:dyDescent="0.2">
      <c r="A28" s="93"/>
      <c r="B28" s="93"/>
      <c r="C28" s="91"/>
      <c r="D28" s="146"/>
      <c r="E28" s="146"/>
    </row>
    <row r="29" spans="1:15" x14ac:dyDescent="0.2">
      <c r="A29" s="93"/>
      <c r="B29" s="93"/>
      <c r="C29" s="91"/>
      <c r="D29" s="146"/>
      <c r="E29" s="146"/>
      <c r="O29" s="181"/>
    </row>
    <row r="30" spans="1:15" x14ac:dyDescent="0.2">
      <c r="A30" s="102" t="s">
        <v>274</v>
      </c>
      <c r="B30" s="94"/>
      <c r="C30" s="92"/>
      <c r="D30" s="132"/>
      <c r="E30" s="132"/>
      <c r="F30" s="103"/>
    </row>
    <row r="31" spans="1:15" x14ac:dyDescent="0.2">
      <c r="A31" s="21" t="s">
        <v>0</v>
      </c>
      <c r="B31" s="94"/>
      <c r="C31" s="92"/>
      <c r="D31" s="132"/>
      <c r="E31" s="132"/>
      <c r="F31" s="103"/>
    </row>
    <row r="32" spans="1:15" x14ac:dyDescent="0.2">
      <c r="A32" s="94"/>
      <c r="B32" s="94"/>
      <c r="C32" s="92"/>
      <c r="D32" s="132"/>
      <c r="E32" s="132"/>
      <c r="F32" s="103"/>
    </row>
    <row r="33" spans="1:9" x14ac:dyDescent="0.2">
      <c r="A33" s="231" t="s">
        <v>19</v>
      </c>
      <c r="B33" s="231" t="s">
        <v>20</v>
      </c>
      <c r="C33" s="104" t="s">
        <v>21</v>
      </c>
      <c r="D33" s="149" t="s">
        <v>3</v>
      </c>
      <c r="E33" s="149" t="s">
        <v>3</v>
      </c>
      <c r="F33" s="105"/>
    </row>
    <row r="34" spans="1:9" x14ac:dyDescent="0.2">
      <c r="A34" s="231"/>
      <c r="B34" s="231"/>
      <c r="C34" s="106" t="s">
        <v>22</v>
      </c>
      <c r="D34" s="151" t="s">
        <v>23</v>
      </c>
      <c r="E34" s="151" t="s">
        <v>4</v>
      </c>
      <c r="F34" s="169"/>
    </row>
    <row r="35" spans="1:9" x14ac:dyDescent="0.2">
      <c r="A35" s="94"/>
      <c r="B35" s="94"/>
      <c r="C35" s="92"/>
      <c r="D35" s="132"/>
      <c r="E35" s="132"/>
      <c r="F35" s="103"/>
    </row>
    <row r="36" spans="1:9" x14ac:dyDescent="0.2">
      <c r="A36" s="21" t="s">
        <v>190</v>
      </c>
      <c r="B36" s="94" t="s">
        <v>24</v>
      </c>
      <c r="C36" s="132">
        <v>173337.28</v>
      </c>
      <c r="D36" s="135"/>
      <c r="E36" s="146"/>
    </row>
    <row r="37" spans="1:9" x14ac:dyDescent="0.2">
      <c r="A37" s="21" t="s">
        <v>191</v>
      </c>
      <c r="B37" s="94" t="s">
        <v>25</v>
      </c>
      <c r="C37" s="132">
        <v>311826.46000000002</v>
      </c>
      <c r="D37" s="135"/>
      <c r="E37" s="146"/>
    </row>
    <row r="38" spans="1:9" x14ac:dyDescent="0.2">
      <c r="A38" s="21" t="s">
        <v>192</v>
      </c>
      <c r="B38" s="94" t="s">
        <v>26</v>
      </c>
      <c r="C38" s="132">
        <v>25235</v>
      </c>
      <c r="D38" s="135"/>
      <c r="E38" s="146"/>
    </row>
    <row r="39" spans="1:9" x14ac:dyDescent="0.2">
      <c r="A39" s="94"/>
      <c r="B39" s="94"/>
      <c r="C39" s="133"/>
      <c r="D39" s="132"/>
      <c r="E39" s="144"/>
      <c r="F39" s="107"/>
    </row>
    <row r="40" spans="1:9" x14ac:dyDescent="0.2">
      <c r="A40" s="94"/>
      <c r="B40" s="10" t="s">
        <v>245</v>
      </c>
      <c r="C40" s="133"/>
      <c r="D40" s="132">
        <f>SUM(C36:C38)</f>
        <v>510398.74</v>
      </c>
      <c r="E40" s="132"/>
      <c r="F40" s="103"/>
    </row>
    <row r="41" spans="1:9" x14ac:dyDescent="0.2">
      <c r="A41" s="94"/>
      <c r="B41" s="94"/>
      <c r="C41" s="133"/>
      <c r="D41" s="132"/>
      <c r="E41" s="132"/>
      <c r="F41" s="103"/>
    </row>
    <row r="42" spans="1:9" x14ac:dyDescent="0.2">
      <c r="A42" s="94"/>
      <c r="B42" s="108" t="s">
        <v>249</v>
      </c>
      <c r="C42" s="134"/>
      <c r="D42" s="134"/>
      <c r="E42" s="134">
        <f>D40</f>
        <v>510398.74</v>
      </c>
      <c r="F42" s="170"/>
    </row>
    <row r="43" spans="1:9" x14ac:dyDescent="0.2">
      <c r="A43" s="94"/>
      <c r="B43" s="94"/>
      <c r="C43" s="133"/>
      <c r="D43" s="132"/>
      <c r="E43" s="132"/>
      <c r="F43" s="103"/>
    </row>
    <row r="44" spans="1:9" x14ac:dyDescent="0.2">
      <c r="A44" s="94"/>
      <c r="B44" s="94"/>
      <c r="C44" s="133"/>
      <c r="D44" s="132"/>
      <c r="E44" s="132"/>
      <c r="F44" s="103"/>
    </row>
    <row r="45" spans="1:9" x14ac:dyDescent="0.2">
      <c r="A45" s="94" t="s">
        <v>27</v>
      </c>
      <c r="B45" s="94" t="s">
        <v>28</v>
      </c>
      <c r="C45" s="132">
        <v>1385943.6</v>
      </c>
      <c r="D45" s="173"/>
      <c r="E45" s="146"/>
      <c r="G45" s="145"/>
    </row>
    <row r="46" spans="1:9" x14ac:dyDescent="0.2">
      <c r="A46" s="94" t="s">
        <v>29</v>
      </c>
      <c r="B46" s="94" t="s">
        <v>30</v>
      </c>
      <c r="C46" s="132">
        <v>26000</v>
      </c>
      <c r="D46" s="153"/>
      <c r="E46" s="146"/>
    </row>
    <row r="47" spans="1:9" x14ac:dyDescent="0.2">
      <c r="A47" s="94" t="s">
        <v>31</v>
      </c>
      <c r="B47" s="94" t="s">
        <v>32</v>
      </c>
      <c r="C47" s="132">
        <v>649600</v>
      </c>
      <c r="D47" s="135"/>
      <c r="E47" s="146"/>
    </row>
    <row r="48" spans="1:9" x14ac:dyDescent="0.2">
      <c r="A48" s="94" t="s">
        <v>33</v>
      </c>
      <c r="B48" s="94" t="s">
        <v>34</v>
      </c>
      <c r="C48" s="132">
        <v>165151</v>
      </c>
      <c r="D48" s="146"/>
      <c r="E48" s="228"/>
      <c r="G48" s="172"/>
      <c r="I48" s="146"/>
    </row>
    <row r="49" spans="1:6" s="11" customFormat="1" x14ac:dyDescent="0.2">
      <c r="A49" s="94" t="s">
        <v>35</v>
      </c>
      <c r="B49" s="94" t="s">
        <v>36</v>
      </c>
      <c r="C49" s="132">
        <v>15000</v>
      </c>
      <c r="D49" s="155"/>
      <c r="E49" s="145"/>
    </row>
    <row r="50" spans="1:6" s="11" customFormat="1" x14ac:dyDescent="0.2">
      <c r="A50" s="11" t="s">
        <v>250</v>
      </c>
      <c r="B50" s="11" t="s">
        <v>273</v>
      </c>
      <c r="C50" s="132">
        <v>4500</v>
      </c>
      <c r="D50" s="136"/>
      <c r="E50" s="145"/>
    </row>
    <row r="51" spans="1:6" x14ac:dyDescent="0.2">
      <c r="A51" s="94"/>
      <c r="B51" s="94"/>
      <c r="C51" s="133"/>
      <c r="D51" s="132"/>
      <c r="E51" s="132"/>
      <c r="F51" s="103"/>
    </row>
    <row r="52" spans="1:6" x14ac:dyDescent="0.2">
      <c r="A52" s="94"/>
      <c r="B52" s="10" t="s">
        <v>246</v>
      </c>
      <c r="C52" s="133"/>
      <c r="D52" s="132">
        <f>SUM(C45:C50)</f>
        <v>2246194.6</v>
      </c>
      <c r="E52" s="132"/>
      <c r="F52" s="103"/>
    </row>
    <row r="53" spans="1:6" x14ac:dyDescent="0.2">
      <c r="A53" s="94"/>
      <c r="B53" s="94"/>
      <c r="C53" s="133"/>
      <c r="D53" s="132"/>
      <c r="E53" s="132"/>
      <c r="F53" s="103"/>
    </row>
    <row r="54" spans="1:6" x14ac:dyDescent="0.2">
      <c r="A54" s="94"/>
      <c r="B54" s="108" t="s">
        <v>37</v>
      </c>
      <c r="C54" s="134"/>
      <c r="D54" s="134"/>
      <c r="E54" s="134">
        <f>D52</f>
        <v>2246194.6</v>
      </c>
      <c r="F54" s="170"/>
    </row>
    <row r="55" spans="1:6" x14ac:dyDescent="0.2">
      <c r="A55" s="94"/>
      <c r="B55" s="94"/>
      <c r="C55" s="133"/>
      <c r="D55" s="132"/>
      <c r="E55" s="132"/>
      <c r="F55" s="103"/>
    </row>
    <row r="56" spans="1:6" x14ac:dyDescent="0.2">
      <c r="A56" s="94"/>
      <c r="B56" s="94"/>
      <c r="C56" s="133"/>
      <c r="D56" s="132"/>
      <c r="E56" s="132"/>
      <c r="F56" s="103"/>
    </row>
    <row r="57" spans="1:6" x14ac:dyDescent="0.2">
      <c r="A57" s="94" t="s">
        <v>38</v>
      </c>
      <c r="B57" s="94" t="s">
        <v>39</v>
      </c>
      <c r="C57" s="133">
        <v>37516</v>
      </c>
      <c r="D57" s="132"/>
      <c r="E57" s="132"/>
      <c r="F57" s="103"/>
    </row>
    <row r="58" spans="1:6" x14ac:dyDescent="0.2">
      <c r="A58" s="10"/>
      <c r="B58" s="10"/>
      <c r="C58" s="133"/>
      <c r="D58" s="132"/>
      <c r="E58" s="132"/>
      <c r="F58" s="103"/>
    </row>
    <row r="59" spans="1:6" x14ac:dyDescent="0.2">
      <c r="A59" s="10"/>
      <c r="B59" s="10" t="s">
        <v>247</v>
      </c>
      <c r="C59" s="133"/>
      <c r="D59" s="133">
        <f>C57</f>
        <v>37516</v>
      </c>
      <c r="E59" s="132"/>
      <c r="F59" s="103"/>
    </row>
    <row r="60" spans="1:6" x14ac:dyDescent="0.2">
      <c r="A60" s="10"/>
      <c r="B60" s="10"/>
      <c r="C60" s="133"/>
      <c r="D60" s="132"/>
      <c r="E60" s="132"/>
      <c r="F60" s="103"/>
    </row>
    <row r="61" spans="1:6" x14ac:dyDescent="0.2">
      <c r="A61" s="10"/>
      <c r="B61" s="108" t="s">
        <v>248</v>
      </c>
      <c r="C61" s="134"/>
      <c r="D61" s="134"/>
      <c r="E61" s="134">
        <f>D59</f>
        <v>37516</v>
      </c>
      <c r="F61" s="170"/>
    </row>
    <row r="62" spans="1:6" x14ac:dyDescent="0.2">
      <c r="A62" s="10"/>
      <c r="B62" s="10"/>
      <c r="C62" s="133"/>
      <c r="D62" s="132"/>
      <c r="E62" s="132"/>
      <c r="F62" s="103"/>
    </row>
    <row r="63" spans="1:6" ht="13.5" thickBot="1" x14ac:dyDescent="0.25">
      <c r="A63" s="10"/>
      <c r="B63" s="109" t="s">
        <v>193</v>
      </c>
      <c r="C63" s="168"/>
      <c r="D63" s="168"/>
      <c r="E63" s="168">
        <f>SUM(E42,E54,E61)</f>
        <v>2794109.34</v>
      </c>
      <c r="F63" s="170"/>
    </row>
    <row r="64" spans="1:6" ht="13.5" thickTop="1" x14ac:dyDescent="0.2">
      <c r="C64" s="146"/>
      <c r="D64" s="146"/>
      <c r="E64" s="146"/>
    </row>
    <row r="65" spans="3:5" x14ac:dyDescent="0.2">
      <c r="C65" s="146"/>
      <c r="D65" s="146"/>
      <c r="E65" s="146"/>
    </row>
    <row r="66" spans="3:5" x14ac:dyDescent="0.2">
      <c r="C66" s="146"/>
    </row>
  </sheetData>
  <mergeCells count="3">
    <mergeCell ref="A6:B7"/>
    <mergeCell ref="A33:A34"/>
    <mergeCell ref="B33:B34"/>
  </mergeCells>
  <phoneticPr fontId="6" type="noConversion"/>
  <pageMargins left="0.70833333333333337" right="0.51180555555555562" top="1.96875" bottom="0.23611111111111113" header="0.51180555555555562" footer="0.51180555555555562"/>
  <pageSetup paperSize="9" scale="69" firstPageNumber="0" orientation="portrait" r:id="rId1"/>
  <headerFooter alignWithMargins="0"/>
  <rowBreaks count="1" manualBreakCount="1">
    <brk id="29" max="16383" man="1"/>
  </row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1:L273"/>
  <sheetViews>
    <sheetView showGridLines="0" zoomScale="125" zoomScaleNormal="125" zoomScalePageLayoutView="86" workbookViewId="0">
      <selection activeCell="F16" sqref="F16"/>
    </sheetView>
  </sheetViews>
  <sheetFormatPr baseColWidth="10" defaultColWidth="11.42578125" defaultRowHeight="12.75" x14ac:dyDescent="0.2"/>
  <cols>
    <col min="1" max="1" width="11.42578125" style="1"/>
    <col min="2" max="2" width="6.85546875" style="1" customWidth="1"/>
    <col min="3" max="3" width="6.42578125" style="1" customWidth="1"/>
    <col min="4" max="4" width="43.28515625" style="1" customWidth="1"/>
    <col min="5" max="5" width="29.7109375" style="1" customWidth="1"/>
    <col min="6" max="6" width="12.7109375" style="176" customWidth="1"/>
    <col min="7" max="7" width="15.28515625" style="2" customWidth="1"/>
    <col min="8" max="10" width="11.42578125" style="1"/>
    <col min="11" max="11" width="15.42578125" style="1" customWidth="1"/>
    <col min="12" max="12" width="12.140625" style="1" bestFit="1" customWidth="1"/>
    <col min="13" max="16384" width="11.42578125" style="1"/>
  </cols>
  <sheetData>
    <row r="1" spans="2:7" x14ac:dyDescent="0.2">
      <c r="B1" s="129" t="s">
        <v>274</v>
      </c>
      <c r="C1" s="116"/>
      <c r="D1" s="116"/>
      <c r="E1" s="143"/>
      <c r="G1" s="113"/>
    </row>
    <row r="2" spans="2:7" x14ac:dyDescent="0.2">
      <c r="B2" s="112" t="s">
        <v>269</v>
      </c>
      <c r="C2" s="116"/>
      <c r="D2" s="116"/>
      <c r="E2" s="117"/>
      <c r="G2" s="114"/>
    </row>
    <row r="3" spans="2:7" x14ac:dyDescent="0.2">
      <c r="B3" s="117"/>
      <c r="C3" s="117"/>
      <c r="D3" s="117"/>
      <c r="E3" s="117"/>
      <c r="G3" s="114"/>
    </row>
    <row r="4" spans="2:7" x14ac:dyDescent="0.2">
      <c r="B4" s="117" t="s">
        <v>1</v>
      </c>
      <c r="C4" s="117"/>
      <c r="D4" s="117"/>
      <c r="E4" s="117"/>
      <c r="G4" s="114"/>
    </row>
    <row r="5" spans="2:7" x14ac:dyDescent="0.2">
      <c r="B5" s="116"/>
      <c r="C5" s="116"/>
      <c r="D5" s="116"/>
      <c r="E5" s="116"/>
      <c r="G5" s="113"/>
    </row>
    <row r="6" spans="2:7" x14ac:dyDescent="0.2">
      <c r="B6" s="232" t="s">
        <v>2</v>
      </c>
      <c r="C6" s="232"/>
      <c r="D6" s="232"/>
      <c r="E6" s="118"/>
      <c r="F6" s="185" t="s">
        <v>3</v>
      </c>
      <c r="G6" s="119" t="s">
        <v>3</v>
      </c>
    </row>
    <row r="7" spans="2:7" x14ac:dyDescent="0.2">
      <c r="B7" s="232"/>
      <c r="C7" s="232"/>
      <c r="D7" s="232"/>
      <c r="E7" s="120"/>
      <c r="F7" s="186" t="s">
        <v>4</v>
      </c>
      <c r="G7" s="121" t="s">
        <v>5</v>
      </c>
    </row>
    <row r="8" spans="2:7" x14ac:dyDescent="0.2">
      <c r="B8" s="116"/>
      <c r="C8" s="116"/>
      <c r="D8" s="116"/>
      <c r="E8" s="116"/>
      <c r="G8" s="113"/>
    </row>
    <row r="9" spans="2:7" x14ac:dyDescent="0.2">
      <c r="B9" s="116" t="s">
        <v>40</v>
      </c>
      <c r="C9" s="116"/>
      <c r="D9" s="116"/>
      <c r="E9" s="116"/>
      <c r="F9" s="176">
        <f>+G61</f>
        <v>2319384.4786070008</v>
      </c>
      <c r="G9" s="113"/>
    </row>
    <row r="10" spans="2:7" x14ac:dyDescent="0.2">
      <c r="B10" s="116" t="s">
        <v>41</v>
      </c>
      <c r="C10" s="116"/>
      <c r="D10" s="116"/>
      <c r="E10" s="116"/>
      <c r="F10" s="176">
        <f>+G112</f>
        <v>382503.98199999996</v>
      </c>
      <c r="G10" s="113"/>
    </row>
    <row r="11" spans="2:7" x14ac:dyDescent="0.2">
      <c r="B11" s="116" t="s">
        <v>42</v>
      </c>
      <c r="C11" s="116"/>
      <c r="D11" s="116"/>
      <c r="E11" s="116"/>
      <c r="F11" s="176">
        <f>+G123</f>
        <v>2304.88</v>
      </c>
      <c r="G11" s="113"/>
    </row>
    <row r="12" spans="2:7" x14ac:dyDescent="0.2">
      <c r="B12" s="116" t="s">
        <v>43</v>
      </c>
      <c r="C12" s="116"/>
      <c r="D12" s="116"/>
      <c r="E12" s="116"/>
      <c r="F12" s="176">
        <f>+G132</f>
        <v>52400</v>
      </c>
      <c r="G12" s="113"/>
    </row>
    <row r="13" spans="2:7" x14ac:dyDescent="0.2">
      <c r="B13" s="116"/>
      <c r="C13" s="116"/>
      <c r="D13" s="116"/>
      <c r="E13" s="116"/>
      <c r="G13" s="113"/>
    </row>
    <row r="14" spans="2:7" x14ac:dyDescent="0.2">
      <c r="B14" s="112" t="s">
        <v>44</v>
      </c>
      <c r="C14" s="112"/>
      <c r="D14" s="112"/>
      <c r="E14" s="112"/>
      <c r="F14" s="187"/>
      <c r="G14" s="122">
        <f>SUM(F9:F13)</f>
        <v>2756593.3406070005</v>
      </c>
    </row>
    <row r="15" spans="2:7" x14ac:dyDescent="0.2">
      <c r="B15" s="116"/>
      <c r="C15" s="116"/>
      <c r="D15" s="116"/>
      <c r="E15" s="116"/>
      <c r="G15" s="113"/>
    </row>
    <row r="16" spans="2:7" x14ac:dyDescent="0.2">
      <c r="B16" s="116" t="s">
        <v>45</v>
      </c>
      <c r="C16" s="116"/>
      <c r="D16" s="116"/>
      <c r="E16" s="116"/>
      <c r="F16" s="176">
        <f>+G140</f>
        <v>37516</v>
      </c>
      <c r="G16" s="113"/>
    </row>
    <row r="17" spans="2:7" x14ac:dyDescent="0.2">
      <c r="B17" s="116" t="s">
        <v>46</v>
      </c>
      <c r="C17" s="116"/>
      <c r="D17" s="116"/>
      <c r="E17" s="116"/>
      <c r="F17" s="176">
        <v>0</v>
      </c>
      <c r="G17" s="113"/>
    </row>
    <row r="18" spans="2:7" x14ac:dyDescent="0.2">
      <c r="B18" s="116"/>
      <c r="C18" s="116"/>
      <c r="D18" s="116"/>
      <c r="E18" s="116"/>
      <c r="G18" s="113"/>
    </row>
    <row r="19" spans="2:7" x14ac:dyDescent="0.2">
      <c r="B19" s="112" t="s">
        <v>47</v>
      </c>
      <c r="C19" s="112"/>
      <c r="D19" s="112"/>
      <c r="E19" s="112"/>
      <c r="F19" s="187"/>
      <c r="G19" s="122">
        <f>SUM(F16:F18)</f>
        <v>37516</v>
      </c>
    </row>
    <row r="20" spans="2:7" x14ac:dyDescent="0.2">
      <c r="B20" s="116"/>
      <c r="C20" s="116"/>
      <c r="D20" s="116"/>
      <c r="E20" s="116"/>
      <c r="G20" s="113"/>
    </row>
    <row r="21" spans="2:7" x14ac:dyDescent="0.2">
      <c r="B21" s="116" t="s">
        <v>48</v>
      </c>
      <c r="C21" s="116"/>
      <c r="D21" s="116"/>
      <c r="E21" s="116"/>
      <c r="F21" s="176">
        <v>0</v>
      </c>
      <c r="G21" s="113"/>
    </row>
    <row r="22" spans="2:7" x14ac:dyDescent="0.2">
      <c r="B22" s="116" t="s">
        <v>49</v>
      </c>
      <c r="C22" s="116"/>
      <c r="D22" s="116"/>
      <c r="E22" s="116"/>
      <c r="F22" s="176">
        <v>0</v>
      </c>
      <c r="G22" s="113"/>
    </row>
    <row r="23" spans="2:7" x14ac:dyDescent="0.2">
      <c r="B23" s="116"/>
      <c r="C23" s="116"/>
      <c r="D23" s="116"/>
      <c r="E23" s="116"/>
      <c r="G23" s="113"/>
    </row>
    <row r="24" spans="2:7" x14ac:dyDescent="0.2">
      <c r="B24" s="112" t="s">
        <v>50</v>
      </c>
      <c r="C24" s="112"/>
      <c r="D24" s="112"/>
      <c r="E24" s="112"/>
      <c r="F24" s="187"/>
      <c r="G24" s="122">
        <f>SUM(F21:F23)</f>
        <v>0</v>
      </c>
    </row>
    <row r="25" spans="2:7" x14ac:dyDescent="0.2">
      <c r="B25" s="115"/>
      <c r="C25" s="115"/>
      <c r="D25" s="116"/>
      <c r="E25" s="116"/>
      <c r="G25" s="113"/>
    </row>
    <row r="26" spans="2:7" ht="13.5" thickBot="1" x14ac:dyDescent="0.25">
      <c r="B26" s="123" t="s">
        <v>195</v>
      </c>
      <c r="C26" s="123"/>
      <c r="D26" s="124"/>
      <c r="E26" s="124"/>
      <c r="F26" s="188"/>
      <c r="G26" s="125">
        <f>G14+G19+G24</f>
        <v>2794109.3406070005</v>
      </c>
    </row>
    <row r="27" spans="2:7" ht="13.5" thickTop="1" x14ac:dyDescent="0.2">
      <c r="B27" s="115"/>
      <c r="C27" s="115"/>
      <c r="D27" s="116"/>
      <c r="E27" s="116"/>
      <c r="G27" s="113"/>
    </row>
    <row r="28" spans="2:7" x14ac:dyDescent="0.2">
      <c r="B28" s="115"/>
      <c r="C28" s="115"/>
      <c r="D28" s="116"/>
      <c r="E28" s="116"/>
      <c r="G28" s="126"/>
    </row>
    <row r="29" spans="2:7" x14ac:dyDescent="0.2">
      <c r="B29" s="141" t="s">
        <v>271</v>
      </c>
      <c r="C29" s="142"/>
      <c r="D29" s="143"/>
      <c r="E29" s="143"/>
      <c r="G29" s="144"/>
    </row>
    <row r="30" spans="2:7" x14ac:dyDescent="0.2">
      <c r="B30" s="143" t="s">
        <v>269</v>
      </c>
      <c r="C30" s="142"/>
      <c r="D30" s="145"/>
      <c r="E30" s="145"/>
      <c r="G30" s="147"/>
    </row>
    <row r="31" spans="2:7" x14ac:dyDescent="0.2">
      <c r="B31" s="142"/>
      <c r="C31" s="142"/>
      <c r="D31" s="143"/>
      <c r="E31" s="143"/>
      <c r="G31" s="144"/>
    </row>
    <row r="32" spans="2:7" x14ac:dyDescent="0.2">
      <c r="B32" s="148" t="s">
        <v>19</v>
      </c>
      <c r="C32" s="148" t="s">
        <v>19</v>
      </c>
      <c r="D32" s="233" t="s">
        <v>20</v>
      </c>
      <c r="E32" s="234" t="s">
        <v>197</v>
      </c>
      <c r="F32" s="185" t="s">
        <v>21</v>
      </c>
      <c r="G32" s="149" t="s">
        <v>3</v>
      </c>
    </row>
    <row r="33" spans="2:12" x14ac:dyDescent="0.2">
      <c r="B33" s="150" t="s">
        <v>52</v>
      </c>
      <c r="C33" s="150" t="s">
        <v>196</v>
      </c>
      <c r="D33" s="233"/>
      <c r="E33" s="235" t="s">
        <v>51</v>
      </c>
      <c r="F33" s="186" t="s">
        <v>54</v>
      </c>
      <c r="G33" s="151" t="s">
        <v>55</v>
      </c>
    </row>
    <row r="34" spans="2:12" x14ac:dyDescent="0.2">
      <c r="B34" s="142"/>
      <c r="C34" s="142"/>
      <c r="D34" s="143"/>
      <c r="E34" s="143"/>
      <c r="G34" s="132"/>
    </row>
    <row r="35" spans="2:12" ht="15.75" x14ac:dyDescent="0.2">
      <c r="B35" s="142">
        <v>110</v>
      </c>
      <c r="C35" s="152">
        <v>3200</v>
      </c>
      <c r="D35" s="143" t="s">
        <v>56</v>
      </c>
      <c r="E35" s="143" t="s">
        <v>58</v>
      </c>
      <c r="G35" s="132"/>
      <c r="J35" s="182"/>
      <c r="K35" s="194"/>
      <c r="L35" s="195"/>
    </row>
    <row r="36" spans="2:12" ht="15.75" x14ac:dyDescent="0.2">
      <c r="B36" s="142"/>
      <c r="C36" s="152"/>
      <c r="D36" s="143"/>
      <c r="E36" s="143"/>
      <c r="G36" s="132"/>
      <c r="J36" s="182"/>
      <c r="K36" s="196"/>
      <c r="L36" s="197"/>
    </row>
    <row r="37" spans="2:12" x14ac:dyDescent="0.2">
      <c r="B37" s="142"/>
      <c r="C37" s="152"/>
      <c r="D37" s="145"/>
      <c r="E37" s="143"/>
      <c r="G37" s="132">
        <f>SUM(F35:F36)</f>
        <v>0</v>
      </c>
    </row>
    <row r="38" spans="2:12" x14ac:dyDescent="0.2">
      <c r="B38" s="142"/>
      <c r="C38" s="152"/>
      <c r="D38" s="143"/>
      <c r="E38" s="143"/>
      <c r="G38" s="132"/>
    </row>
    <row r="39" spans="2:12" x14ac:dyDescent="0.2">
      <c r="B39" s="142">
        <v>130</v>
      </c>
      <c r="C39" s="152">
        <v>3200</v>
      </c>
      <c r="D39" s="143" t="s">
        <v>57</v>
      </c>
      <c r="E39" s="143" t="s">
        <v>58</v>
      </c>
      <c r="F39" s="132">
        <f>'5_Annex personal 2023'!Q23</f>
        <v>161872.02039999998</v>
      </c>
      <c r="G39" s="132"/>
      <c r="J39" s="132"/>
    </row>
    <row r="40" spans="2:12" x14ac:dyDescent="0.2">
      <c r="B40" s="142">
        <v>130</v>
      </c>
      <c r="C40" s="152">
        <v>3230</v>
      </c>
      <c r="D40" s="143" t="s">
        <v>57</v>
      </c>
      <c r="E40" s="143" t="s">
        <v>59</v>
      </c>
      <c r="F40" s="132">
        <f>'5_Annex personal 2023'!Q59</f>
        <v>1017986.1640000003</v>
      </c>
      <c r="G40" s="132"/>
      <c r="J40" s="132"/>
    </row>
    <row r="41" spans="2:12" x14ac:dyDescent="0.2">
      <c r="B41" s="142">
        <v>130</v>
      </c>
      <c r="C41" s="152">
        <v>3231</v>
      </c>
      <c r="D41" s="143" t="s">
        <v>57</v>
      </c>
      <c r="E41" s="143" t="s">
        <v>60</v>
      </c>
      <c r="F41" s="132">
        <f>'5_Annex personal 2023'!Q83</f>
        <v>391372.71350000001</v>
      </c>
      <c r="G41" s="132"/>
      <c r="J41" s="132"/>
    </row>
    <row r="42" spans="2:12" x14ac:dyDescent="0.2">
      <c r="B42" s="142">
        <v>131</v>
      </c>
      <c r="C42" s="152">
        <v>3200</v>
      </c>
      <c r="D42" s="143" t="s">
        <v>61</v>
      </c>
      <c r="E42" s="143" t="s">
        <v>58</v>
      </c>
      <c r="F42" s="132">
        <v>54993.85</v>
      </c>
      <c r="G42" s="132"/>
      <c r="J42" s="132"/>
    </row>
    <row r="43" spans="2:12" x14ac:dyDescent="0.2">
      <c r="B43" s="142">
        <v>131</v>
      </c>
      <c r="C43" s="152">
        <v>3230</v>
      </c>
      <c r="D43" s="143" t="s">
        <v>61</v>
      </c>
      <c r="E43" s="143" t="s">
        <v>59</v>
      </c>
      <c r="F43" s="132">
        <v>78767.83</v>
      </c>
      <c r="G43" s="132"/>
      <c r="J43" s="132"/>
    </row>
    <row r="44" spans="2:12" x14ac:dyDescent="0.2">
      <c r="B44" s="142">
        <v>131</v>
      </c>
      <c r="C44" s="152">
        <v>3231</v>
      </c>
      <c r="D44" s="143" t="s">
        <v>61</v>
      </c>
      <c r="E44" s="143" t="s">
        <v>60</v>
      </c>
      <c r="F44" s="132">
        <f>19500*1.01</f>
        <v>19695</v>
      </c>
      <c r="G44" s="132"/>
      <c r="J44" s="132"/>
    </row>
    <row r="45" spans="2:12" x14ac:dyDescent="0.2">
      <c r="B45" s="142"/>
      <c r="C45" s="152"/>
      <c r="D45" s="143"/>
      <c r="E45" s="143"/>
      <c r="G45" s="132"/>
      <c r="J45" s="132"/>
    </row>
    <row r="46" spans="2:12" x14ac:dyDescent="0.2">
      <c r="B46" s="142"/>
      <c r="C46" s="152"/>
      <c r="D46" s="143" t="s">
        <v>62</v>
      </c>
      <c r="E46" s="143"/>
      <c r="G46" s="132">
        <f>SUM(F39:F45)</f>
        <v>1724687.5779000006</v>
      </c>
    </row>
    <row r="47" spans="2:12" x14ac:dyDescent="0.2">
      <c r="B47" s="142"/>
      <c r="C47" s="152"/>
      <c r="D47" s="143"/>
      <c r="E47" s="143"/>
      <c r="G47" s="132"/>
    </row>
    <row r="48" spans="2:12" x14ac:dyDescent="0.2">
      <c r="B48" s="142">
        <v>151</v>
      </c>
      <c r="C48" s="152">
        <v>3200</v>
      </c>
      <c r="D48" s="143" t="s">
        <v>63</v>
      </c>
      <c r="E48" s="143" t="s">
        <v>58</v>
      </c>
      <c r="F48" s="176">
        <v>1</v>
      </c>
      <c r="G48" s="132" t="s">
        <v>225</v>
      </c>
    </row>
    <row r="49" spans="2:9" x14ac:dyDescent="0.2">
      <c r="B49" s="142">
        <v>151</v>
      </c>
      <c r="C49" s="152">
        <v>3230</v>
      </c>
      <c r="D49" s="143" t="s">
        <v>63</v>
      </c>
      <c r="E49" s="143" t="s">
        <v>59</v>
      </c>
      <c r="F49" s="176">
        <v>1</v>
      </c>
      <c r="G49" s="132"/>
    </row>
    <row r="50" spans="2:9" x14ac:dyDescent="0.2">
      <c r="B50" s="142">
        <v>151</v>
      </c>
      <c r="C50" s="152">
        <v>3231</v>
      </c>
      <c r="D50" s="143" t="s">
        <v>63</v>
      </c>
      <c r="E50" s="143" t="s">
        <v>60</v>
      </c>
      <c r="F50" s="132">
        <v>801</v>
      </c>
      <c r="G50" s="132"/>
      <c r="I50" s="145"/>
    </row>
    <row r="51" spans="2:9" x14ac:dyDescent="0.2">
      <c r="B51" s="142"/>
      <c r="C51" s="152"/>
      <c r="D51" s="143"/>
      <c r="E51" s="143"/>
      <c r="G51" s="132"/>
    </row>
    <row r="52" spans="2:9" x14ac:dyDescent="0.2">
      <c r="B52" s="142"/>
      <c r="C52" s="152"/>
      <c r="D52" s="143" t="s">
        <v>64</v>
      </c>
      <c r="E52" s="143"/>
      <c r="G52" s="132">
        <f>SUM(F48:F51)</f>
        <v>803</v>
      </c>
    </row>
    <row r="53" spans="2:9" x14ac:dyDescent="0.2">
      <c r="B53" s="142"/>
      <c r="C53" s="152"/>
      <c r="D53" s="143"/>
      <c r="E53" s="143"/>
      <c r="G53" s="132"/>
    </row>
    <row r="54" spans="2:9" x14ac:dyDescent="0.2">
      <c r="B54" s="142">
        <v>160</v>
      </c>
      <c r="C54" s="152">
        <v>2310</v>
      </c>
      <c r="D54" s="143" t="s">
        <v>65</v>
      </c>
      <c r="E54" s="143" t="s">
        <v>66</v>
      </c>
      <c r="F54" s="132">
        <f>(G46*33%)</f>
        <v>569146.90070700028</v>
      </c>
      <c r="G54" s="132"/>
    </row>
    <row r="55" spans="2:9" x14ac:dyDescent="0.2">
      <c r="B55" s="142">
        <v>162</v>
      </c>
      <c r="C55" s="152">
        <v>3200</v>
      </c>
      <c r="D55" s="143" t="s">
        <v>268</v>
      </c>
      <c r="E55" s="143" t="s">
        <v>58</v>
      </c>
      <c r="F55" s="176">
        <v>23647</v>
      </c>
      <c r="G55" s="132"/>
      <c r="I55" s="145"/>
    </row>
    <row r="56" spans="2:9" x14ac:dyDescent="0.2">
      <c r="B56" s="142">
        <v>162</v>
      </c>
      <c r="C56" s="152">
        <v>3230</v>
      </c>
      <c r="D56" s="143" t="s">
        <v>67</v>
      </c>
      <c r="E56" s="143" t="s">
        <v>59</v>
      </c>
      <c r="F56" s="176">
        <v>1100</v>
      </c>
      <c r="G56" s="132"/>
    </row>
    <row r="57" spans="2:9" x14ac:dyDescent="0.2">
      <c r="B57" s="142">
        <v>162</v>
      </c>
      <c r="C57" s="152">
        <v>3231</v>
      </c>
      <c r="D57" s="143" t="s">
        <v>67</v>
      </c>
      <c r="E57" s="143" t="s">
        <v>60</v>
      </c>
      <c r="F57" s="176">
        <v>0</v>
      </c>
      <c r="G57" s="153"/>
    </row>
    <row r="58" spans="2:9" x14ac:dyDescent="0.2">
      <c r="B58" s="142"/>
      <c r="C58" s="152"/>
      <c r="D58" s="143"/>
      <c r="E58" s="143"/>
      <c r="G58" s="132"/>
    </row>
    <row r="59" spans="2:9" x14ac:dyDescent="0.2">
      <c r="B59" s="142"/>
      <c r="C59" s="152"/>
      <c r="D59" s="143" t="s">
        <v>68</v>
      </c>
      <c r="E59" s="143"/>
      <c r="G59" s="132">
        <f>SUM(F54:F58)</f>
        <v>593893.90070700028</v>
      </c>
    </row>
    <row r="60" spans="2:9" x14ac:dyDescent="0.2">
      <c r="B60" s="142"/>
      <c r="C60" s="152"/>
      <c r="D60" s="143"/>
      <c r="E60" s="143"/>
      <c r="G60" s="132"/>
    </row>
    <row r="61" spans="2:9" x14ac:dyDescent="0.2">
      <c r="B61" s="142"/>
      <c r="C61" s="152"/>
      <c r="D61" s="154" t="s">
        <v>69</v>
      </c>
      <c r="E61" s="154"/>
      <c r="F61" s="189"/>
      <c r="G61" s="134">
        <f>SUM(G46:G59)</f>
        <v>2319384.4786070008</v>
      </c>
    </row>
    <row r="62" spans="2:9" x14ac:dyDescent="0.2">
      <c r="B62" s="142"/>
      <c r="C62" s="152"/>
      <c r="D62" s="143"/>
      <c r="E62" s="143"/>
      <c r="G62" s="132"/>
    </row>
    <row r="63" spans="2:9" x14ac:dyDescent="0.2">
      <c r="B63" s="142"/>
      <c r="C63" s="152"/>
      <c r="D63" s="143"/>
      <c r="E63" s="143"/>
      <c r="G63" s="132"/>
    </row>
    <row r="64" spans="2:9" s="15" customFormat="1" x14ac:dyDescent="0.2">
      <c r="B64" s="142">
        <v>203</v>
      </c>
      <c r="C64" s="152">
        <v>3200</v>
      </c>
      <c r="D64" s="143" t="s">
        <v>70</v>
      </c>
      <c r="E64" s="143" t="s">
        <v>58</v>
      </c>
      <c r="F64" s="176">
        <v>5</v>
      </c>
      <c r="G64" s="132"/>
    </row>
    <row r="65" spans="2:7" x14ac:dyDescent="0.2">
      <c r="B65" s="142">
        <v>203</v>
      </c>
      <c r="C65" s="152">
        <v>3230</v>
      </c>
      <c r="D65" s="143" t="s">
        <v>71</v>
      </c>
      <c r="E65" s="143" t="s">
        <v>59</v>
      </c>
      <c r="F65" s="176">
        <f>(45.81*12)+1067.2+1120-0.43</f>
        <v>2736.4900000000002</v>
      </c>
      <c r="G65" s="156"/>
    </row>
    <row r="66" spans="2:7" x14ac:dyDescent="0.2">
      <c r="B66" s="142">
        <v>203</v>
      </c>
      <c r="C66" s="152">
        <v>3231</v>
      </c>
      <c r="D66" s="143" t="s">
        <v>70</v>
      </c>
      <c r="E66" s="143" t="s">
        <v>60</v>
      </c>
      <c r="F66" s="176">
        <v>544.27200000000005</v>
      </c>
      <c r="G66" s="156"/>
    </row>
    <row r="67" spans="2:7" x14ac:dyDescent="0.2">
      <c r="B67" s="145">
        <v>206</v>
      </c>
      <c r="C67" s="157">
        <v>3230</v>
      </c>
      <c r="D67" s="145" t="s">
        <v>239</v>
      </c>
      <c r="E67" s="143" t="s">
        <v>59</v>
      </c>
      <c r="F67" s="176">
        <v>1</v>
      </c>
      <c r="G67" s="146"/>
    </row>
    <row r="68" spans="2:7" x14ac:dyDescent="0.2">
      <c r="B68" s="145">
        <v>206</v>
      </c>
      <c r="C68" s="157">
        <v>3231</v>
      </c>
      <c r="D68" s="145" t="s">
        <v>239</v>
      </c>
      <c r="E68" s="143" t="s">
        <v>60</v>
      </c>
      <c r="F68" s="176">
        <v>1</v>
      </c>
      <c r="G68" s="132"/>
    </row>
    <row r="69" spans="2:7" x14ac:dyDescent="0.2">
      <c r="B69" s="142"/>
      <c r="C69" s="152"/>
      <c r="D69" s="143"/>
      <c r="E69" s="143"/>
      <c r="G69" s="132"/>
    </row>
    <row r="70" spans="2:7" x14ac:dyDescent="0.2">
      <c r="B70" s="142"/>
      <c r="C70" s="152"/>
      <c r="D70" s="143" t="s">
        <v>72</v>
      </c>
      <c r="E70" s="143"/>
      <c r="G70" s="132">
        <f>SUM(F64:F69)</f>
        <v>3287.7620000000002</v>
      </c>
    </row>
    <row r="71" spans="2:7" x14ac:dyDescent="0.2">
      <c r="B71" s="142"/>
      <c r="C71" s="152"/>
      <c r="D71" s="143"/>
      <c r="E71" s="143"/>
      <c r="G71" s="132"/>
    </row>
    <row r="72" spans="2:7" x14ac:dyDescent="0.2">
      <c r="B72" s="142">
        <v>212</v>
      </c>
      <c r="C72" s="152">
        <v>3230</v>
      </c>
      <c r="D72" s="143" t="s">
        <v>73</v>
      </c>
      <c r="E72" s="143" t="s">
        <v>59</v>
      </c>
      <c r="F72" s="176">
        <v>1</v>
      </c>
      <c r="G72" s="132"/>
    </row>
    <row r="73" spans="2:7" x14ac:dyDescent="0.2">
      <c r="B73" s="142">
        <v>213</v>
      </c>
      <c r="C73" s="152">
        <v>3230</v>
      </c>
      <c r="D73" s="145" t="s">
        <v>74</v>
      </c>
      <c r="E73" s="143" t="s">
        <v>59</v>
      </c>
      <c r="F73" s="176">
        <v>300</v>
      </c>
      <c r="G73" s="132"/>
    </row>
    <row r="74" spans="2:7" x14ac:dyDescent="0.2">
      <c r="B74" s="142">
        <v>216</v>
      </c>
      <c r="C74" s="152">
        <v>3230</v>
      </c>
      <c r="D74" s="143" t="s">
        <v>75</v>
      </c>
      <c r="E74" s="143" t="s">
        <v>59</v>
      </c>
      <c r="F74" s="176">
        <v>1</v>
      </c>
      <c r="G74" s="132"/>
    </row>
    <row r="75" spans="2:7" x14ac:dyDescent="0.2">
      <c r="B75" s="142">
        <v>216</v>
      </c>
      <c r="C75" s="152">
        <v>3231</v>
      </c>
      <c r="D75" s="143" t="s">
        <v>75</v>
      </c>
      <c r="E75" s="143" t="s">
        <v>60</v>
      </c>
      <c r="F75" s="176">
        <v>1</v>
      </c>
      <c r="G75" s="132"/>
    </row>
    <row r="76" spans="2:7" x14ac:dyDescent="0.2">
      <c r="B76" s="142">
        <v>219</v>
      </c>
      <c r="C76" s="152">
        <v>3231</v>
      </c>
      <c r="D76" s="143" t="s">
        <v>76</v>
      </c>
      <c r="E76" s="143" t="s">
        <v>60</v>
      </c>
      <c r="F76" s="176">
        <v>700</v>
      </c>
      <c r="G76" s="132"/>
    </row>
    <row r="77" spans="2:7" x14ac:dyDescent="0.2">
      <c r="B77" s="142"/>
      <c r="C77" s="152"/>
      <c r="D77" s="143"/>
      <c r="E77" s="143"/>
      <c r="G77" s="132"/>
    </row>
    <row r="78" spans="2:7" x14ac:dyDescent="0.2">
      <c r="B78" s="142"/>
      <c r="C78" s="152"/>
      <c r="D78" s="143" t="s">
        <v>77</v>
      </c>
      <c r="E78" s="143"/>
      <c r="G78" s="132">
        <f>SUM(F72:F77)</f>
        <v>1003</v>
      </c>
    </row>
    <row r="79" spans="2:7" x14ac:dyDescent="0.2">
      <c r="B79" s="142"/>
      <c r="C79" s="152"/>
      <c r="D79" s="143"/>
      <c r="E79" s="143"/>
      <c r="G79" s="132"/>
    </row>
    <row r="80" spans="2:7" x14ac:dyDescent="0.2">
      <c r="B80" s="142">
        <v>220</v>
      </c>
      <c r="C80" s="152">
        <v>3200</v>
      </c>
      <c r="D80" s="143" t="s">
        <v>78</v>
      </c>
      <c r="E80" s="143" t="s">
        <v>58</v>
      </c>
      <c r="F80" s="176">
        <v>1500</v>
      </c>
      <c r="G80" s="132"/>
    </row>
    <row r="81" spans="2:8" x14ac:dyDescent="0.2">
      <c r="B81" s="142">
        <v>220</v>
      </c>
      <c r="C81" s="152">
        <v>3230</v>
      </c>
      <c r="D81" s="143" t="s">
        <v>78</v>
      </c>
      <c r="E81" s="143" t="s">
        <v>59</v>
      </c>
      <c r="F81" s="176">
        <v>4000</v>
      </c>
      <c r="G81" s="132"/>
      <c r="H81" s="145"/>
    </row>
    <row r="82" spans="2:8" x14ac:dyDescent="0.2">
      <c r="B82" s="142">
        <v>220</v>
      </c>
      <c r="C82" s="152">
        <v>3231</v>
      </c>
      <c r="D82" s="143" t="s">
        <v>78</v>
      </c>
      <c r="E82" s="143" t="s">
        <v>60</v>
      </c>
      <c r="F82" s="176">
        <v>2500</v>
      </c>
      <c r="G82" s="146"/>
    </row>
    <row r="83" spans="2:8" x14ac:dyDescent="0.2">
      <c r="B83" s="142">
        <v>221</v>
      </c>
      <c r="C83" s="152">
        <v>3200</v>
      </c>
      <c r="D83" s="143" t="s">
        <v>79</v>
      </c>
      <c r="E83" s="143" t="s">
        <v>58</v>
      </c>
      <c r="F83" s="176">
        <v>26</v>
      </c>
      <c r="G83" s="132"/>
    </row>
    <row r="84" spans="2:8" x14ac:dyDescent="0.2">
      <c r="B84" s="142">
        <v>221</v>
      </c>
      <c r="C84" s="152">
        <v>3230</v>
      </c>
      <c r="D84" s="143" t="s">
        <v>79</v>
      </c>
      <c r="E84" s="143" t="s">
        <v>59</v>
      </c>
      <c r="F84" s="176">
        <v>2000</v>
      </c>
      <c r="G84" s="132"/>
    </row>
    <row r="85" spans="2:8" x14ac:dyDescent="0.2">
      <c r="B85" s="142">
        <v>221</v>
      </c>
      <c r="C85" s="152">
        <v>3231</v>
      </c>
      <c r="D85" s="143" t="s">
        <v>79</v>
      </c>
      <c r="E85" s="143" t="s">
        <v>60</v>
      </c>
      <c r="F85" s="176">
        <v>500</v>
      </c>
      <c r="G85" s="146"/>
    </row>
    <row r="86" spans="2:8" x14ac:dyDescent="0.2">
      <c r="B86" s="148" t="s">
        <v>19</v>
      </c>
      <c r="C86" s="148" t="s">
        <v>19</v>
      </c>
      <c r="D86" s="233" t="s">
        <v>20</v>
      </c>
      <c r="E86" s="234" t="s">
        <v>197</v>
      </c>
      <c r="F86" s="185" t="s">
        <v>21</v>
      </c>
      <c r="G86" s="149" t="s">
        <v>3</v>
      </c>
    </row>
    <row r="87" spans="2:8" x14ac:dyDescent="0.2">
      <c r="B87" s="150" t="s">
        <v>52</v>
      </c>
      <c r="C87" s="150" t="s">
        <v>196</v>
      </c>
      <c r="D87" s="233"/>
      <c r="E87" s="235" t="s">
        <v>51</v>
      </c>
      <c r="F87" s="186" t="s">
        <v>54</v>
      </c>
      <c r="G87" s="151" t="s">
        <v>55</v>
      </c>
    </row>
    <row r="88" spans="2:8" x14ac:dyDescent="0.2">
      <c r="B88" s="142"/>
      <c r="C88" s="152"/>
      <c r="D88" s="143"/>
      <c r="E88" s="143"/>
      <c r="G88" s="132"/>
    </row>
    <row r="89" spans="2:8" x14ac:dyDescent="0.2">
      <c r="B89" s="142">
        <v>222</v>
      </c>
      <c r="C89" s="152">
        <v>3200</v>
      </c>
      <c r="D89" s="143" t="s">
        <v>80</v>
      </c>
      <c r="E89" s="143" t="s">
        <v>58</v>
      </c>
      <c r="F89" s="132">
        <v>1000</v>
      </c>
      <c r="G89" s="146"/>
    </row>
    <row r="90" spans="2:8" x14ac:dyDescent="0.2">
      <c r="B90" s="142">
        <v>222</v>
      </c>
      <c r="C90" s="152">
        <v>3230</v>
      </c>
      <c r="D90" s="143" t="s">
        <v>80</v>
      </c>
      <c r="E90" s="143" t="s">
        <v>59</v>
      </c>
      <c r="F90" s="132">
        <v>1</v>
      </c>
      <c r="G90" s="132"/>
    </row>
    <row r="91" spans="2:8" x14ac:dyDescent="0.2">
      <c r="B91" s="142">
        <v>222</v>
      </c>
      <c r="C91" s="152">
        <v>3231</v>
      </c>
      <c r="D91" s="143" t="s">
        <v>80</v>
      </c>
      <c r="E91" s="143" t="s">
        <v>60</v>
      </c>
      <c r="F91" s="132">
        <v>1</v>
      </c>
      <c r="G91" s="132"/>
    </row>
    <row r="92" spans="2:8" x14ac:dyDescent="0.2">
      <c r="B92" s="142">
        <v>223</v>
      </c>
      <c r="C92" s="152">
        <v>3231</v>
      </c>
      <c r="D92" s="143" t="s">
        <v>81</v>
      </c>
      <c r="E92" s="143" t="s">
        <v>60</v>
      </c>
      <c r="F92" s="176">
        <v>300</v>
      </c>
      <c r="G92" s="132"/>
    </row>
    <row r="93" spans="2:8" x14ac:dyDescent="0.2">
      <c r="B93" s="142">
        <v>224</v>
      </c>
      <c r="C93" s="152">
        <v>3230</v>
      </c>
      <c r="D93" s="143" t="s">
        <v>82</v>
      </c>
      <c r="E93" s="143" t="s">
        <v>59</v>
      </c>
      <c r="F93" s="176">
        <v>1</v>
      </c>
      <c r="G93" s="132"/>
    </row>
    <row r="94" spans="2:8" x14ac:dyDescent="0.2">
      <c r="B94" s="142">
        <v>224</v>
      </c>
      <c r="C94" s="152">
        <v>3231</v>
      </c>
      <c r="D94" s="143" t="s">
        <v>82</v>
      </c>
      <c r="E94" s="143" t="s">
        <v>60</v>
      </c>
      <c r="F94" s="176">
        <v>1</v>
      </c>
      <c r="G94" s="153"/>
    </row>
    <row r="95" spans="2:8" x14ac:dyDescent="0.2">
      <c r="B95" s="142">
        <v>226</v>
      </c>
      <c r="C95" s="152">
        <v>3200</v>
      </c>
      <c r="D95" s="143" t="s">
        <v>83</v>
      </c>
      <c r="E95" s="143" t="s">
        <v>58</v>
      </c>
      <c r="F95" s="176">
        <v>1000</v>
      </c>
      <c r="G95" s="155"/>
    </row>
    <row r="96" spans="2:8" x14ac:dyDescent="0.2">
      <c r="B96" s="142">
        <v>226</v>
      </c>
      <c r="C96" s="152">
        <v>3230</v>
      </c>
      <c r="D96" s="143" t="s">
        <v>83</v>
      </c>
      <c r="E96" s="143" t="s">
        <v>59</v>
      </c>
      <c r="F96" s="176">
        <v>7724</v>
      </c>
      <c r="G96" s="146"/>
    </row>
    <row r="97" spans="2:11" ht="15.75" x14ac:dyDescent="0.2">
      <c r="B97" s="142">
        <v>226</v>
      </c>
      <c r="C97" s="152">
        <v>3231</v>
      </c>
      <c r="D97" s="143" t="s">
        <v>83</v>
      </c>
      <c r="E97" s="143" t="s">
        <v>60</v>
      </c>
      <c r="F97" s="176">
        <v>2500</v>
      </c>
      <c r="G97" s="153"/>
      <c r="I97" s="198"/>
      <c r="J97" s="196"/>
      <c r="K97" s="197"/>
    </row>
    <row r="98" spans="2:11" s="145" customFormat="1" x14ac:dyDescent="0.2">
      <c r="B98" s="142">
        <v>226</v>
      </c>
      <c r="C98" s="152">
        <v>3232</v>
      </c>
      <c r="D98" s="143" t="s">
        <v>83</v>
      </c>
      <c r="E98" s="143" t="s">
        <v>251</v>
      </c>
      <c r="F98" s="132">
        <v>92890</v>
      </c>
      <c r="G98" s="153"/>
    </row>
    <row r="99" spans="2:11" ht="15.75" x14ac:dyDescent="0.25">
      <c r="B99" s="142">
        <v>227</v>
      </c>
      <c r="C99" s="152">
        <v>3200</v>
      </c>
      <c r="D99" s="143" t="s">
        <v>84</v>
      </c>
      <c r="E99" s="143" t="s">
        <v>58</v>
      </c>
      <c r="F99" s="176">
        <v>105676.65</v>
      </c>
      <c r="G99" s="146"/>
      <c r="I99" s="198"/>
      <c r="K99" s="199"/>
    </row>
    <row r="100" spans="2:11" x14ac:dyDescent="0.2">
      <c r="B100" s="142">
        <v>227</v>
      </c>
      <c r="C100" s="152">
        <v>3230</v>
      </c>
      <c r="D100" s="143" t="s">
        <v>84</v>
      </c>
      <c r="E100" s="143" t="s">
        <v>59</v>
      </c>
      <c r="F100" s="176">
        <v>152492.94</v>
      </c>
      <c r="G100" s="146"/>
    </row>
    <row r="101" spans="2:11" x14ac:dyDescent="0.2">
      <c r="B101" s="142">
        <v>227</v>
      </c>
      <c r="C101" s="152">
        <v>3231</v>
      </c>
      <c r="D101" s="143" t="s">
        <v>84</v>
      </c>
      <c r="E101" s="143" t="s">
        <v>60</v>
      </c>
      <c r="F101" s="176">
        <v>3499.63</v>
      </c>
      <c r="G101" s="146"/>
    </row>
    <row r="102" spans="2:11" x14ac:dyDescent="0.2">
      <c r="B102" s="142"/>
      <c r="C102" s="152"/>
      <c r="D102" s="143"/>
      <c r="E102" s="143"/>
      <c r="G102" s="132"/>
    </row>
    <row r="103" spans="2:11" x14ac:dyDescent="0.2">
      <c r="B103" s="142"/>
      <c r="C103" s="152"/>
      <c r="D103" s="143" t="s">
        <v>85</v>
      </c>
      <c r="E103" s="143"/>
      <c r="G103" s="132">
        <f>SUM(F80:F102)</f>
        <v>377613.22</v>
      </c>
      <c r="J103" s="7"/>
    </row>
    <row r="104" spans="2:11" x14ac:dyDescent="0.2">
      <c r="B104" s="142"/>
      <c r="C104" s="152"/>
      <c r="D104" s="143"/>
      <c r="E104" s="143"/>
      <c r="G104" s="132"/>
    </row>
    <row r="105" spans="2:11" x14ac:dyDescent="0.2">
      <c r="B105" s="142">
        <v>230</v>
      </c>
      <c r="C105" s="152">
        <v>3200</v>
      </c>
      <c r="D105" s="143" t="s">
        <v>86</v>
      </c>
      <c r="E105" s="143" t="s">
        <v>58</v>
      </c>
      <c r="F105" s="176">
        <v>150</v>
      </c>
      <c r="G105" s="132"/>
    </row>
    <row r="106" spans="2:11" x14ac:dyDescent="0.2">
      <c r="B106" s="142">
        <v>230</v>
      </c>
      <c r="C106" s="152">
        <v>3230</v>
      </c>
      <c r="D106" s="143" t="s">
        <v>86</v>
      </c>
      <c r="E106" s="143" t="s">
        <v>59</v>
      </c>
      <c r="F106" s="176">
        <v>150</v>
      </c>
      <c r="G106" s="146"/>
    </row>
    <row r="107" spans="2:11" x14ac:dyDescent="0.2">
      <c r="B107" s="142">
        <v>230</v>
      </c>
      <c r="C107" s="152">
        <v>3231</v>
      </c>
      <c r="D107" s="143" t="s">
        <v>86</v>
      </c>
      <c r="E107" s="143" t="s">
        <v>60</v>
      </c>
      <c r="F107" s="176">
        <v>150</v>
      </c>
      <c r="G107" s="146"/>
    </row>
    <row r="108" spans="2:11" x14ac:dyDescent="0.2">
      <c r="B108" s="142">
        <v>231</v>
      </c>
      <c r="C108" s="152">
        <v>3231</v>
      </c>
      <c r="D108" s="143" t="s">
        <v>87</v>
      </c>
      <c r="E108" s="143" t="s">
        <v>60</v>
      </c>
      <c r="F108" s="176">
        <v>150</v>
      </c>
      <c r="G108" s="146"/>
    </row>
    <row r="109" spans="2:11" x14ac:dyDescent="0.2">
      <c r="B109" s="142"/>
      <c r="C109" s="152"/>
      <c r="D109" s="143"/>
      <c r="E109" s="143"/>
      <c r="G109" s="132"/>
    </row>
    <row r="110" spans="2:11" x14ac:dyDescent="0.2">
      <c r="B110" s="142"/>
      <c r="C110" s="152"/>
      <c r="D110" s="143" t="s">
        <v>88</v>
      </c>
      <c r="E110" s="143"/>
      <c r="G110" s="132">
        <f>SUM(F105:F109)</f>
        <v>600</v>
      </c>
    </row>
    <row r="111" spans="2:11" x14ac:dyDescent="0.2">
      <c r="B111" s="142"/>
      <c r="C111" s="152"/>
      <c r="D111" s="143"/>
      <c r="E111" s="143"/>
      <c r="G111" s="132"/>
    </row>
    <row r="112" spans="2:11" x14ac:dyDescent="0.2">
      <c r="B112" s="142"/>
      <c r="C112" s="152"/>
      <c r="D112" s="154" t="s">
        <v>89</v>
      </c>
      <c r="E112" s="154"/>
      <c r="F112" s="189"/>
      <c r="G112" s="134">
        <f>SUM(G70,G78,G103,G110)</f>
        <v>382503.98199999996</v>
      </c>
    </row>
    <row r="113" spans="2:7" ht="15" customHeight="1" x14ac:dyDescent="0.2">
      <c r="B113" s="142"/>
      <c r="C113" s="152"/>
      <c r="D113" s="143"/>
      <c r="E113" s="143"/>
      <c r="G113" s="132"/>
    </row>
    <row r="114" spans="2:7" x14ac:dyDescent="0.2">
      <c r="B114" s="142"/>
      <c r="C114" s="152"/>
      <c r="D114" s="143"/>
      <c r="E114" s="143"/>
      <c r="G114" s="132"/>
    </row>
    <row r="115" spans="2:7" s="15" customFormat="1" x14ac:dyDescent="0.2">
      <c r="B115" s="142">
        <v>358</v>
      </c>
      <c r="C115" s="152">
        <v>3200</v>
      </c>
      <c r="D115" s="145" t="s">
        <v>206</v>
      </c>
      <c r="E115" s="143" t="s">
        <v>58</v>
      </c>
      <c r="F115" s="176">
        <v>31.5</v>
      </c>
      <c r="G115" s="132"/>
    </row>
    <row r="116" spans="2:7" x14ac:dyDescent="0.2">
      <c r="B116" s="142">
        <v>358</v>
      </c>
      <c r="C116" s="152">
        <v>3230</v>
      </c>
      <c r="D116" s="145" t="s">
        <v>206</v>
      </c>
      <c r="E116" s="143" t="s">
        <v>59</v>
      </c>
      <c r="F116" s="176">
        <f>41</f>
        <v>41</v>
      </c>
      <c r="G116" s="132"/>
    </row>
    <row r="117" spans="2:7" x14ac:dyDescent="0.2">
      <c r="B117" s="142">
        <v>358</v>
      </c>
      <c r="C117" s="152">
        <v>3231</v>
      </c>
      <c r="D117" s="145" t="s">
        <v>206</v>
      </c>
      <c r="E117" s="143" t="s">
        <v>60</v>
      </c>
      <c r="F117" s="176">
        <v>32.380000000000003</v>
      </c>
      <c r="G117" s="132"/>
    </row>
    <row r="118" spans="2:7" x14ac:dyDescent="0.2">
      <c r="B118" s="142"/>
      <c r="C118" s="152"/>
      <c r="D118" s="145"/>
      <c r="E118" s="143"/>
      <c r="F118" s="187"/>
      <c r="G118" s="132"/>
    </row>
    <row r="119" spans="2:7" x14ac:dyDescent="0.2">
      <c r="B119" s="142">
        <v>359</v>
      </c>
      <c r="C119" s="152">
        <v>9340</v>
      </c>
      <c r="D119" s="143" t="s">
        <v>90</v>
      </c>
      <c r="E119" s="142" t="s">
        <v>208</v>
      </c>
      <c r="F119" s="176">
        <f>1650+550</f>
        <v>2200</v>
      </c>
      <c r="G119" s="146"/>
    </row>
    <row r="120" spans="2:7" x14ac:dyDescent="0.2">
      <c r="B120" s="142"/>
      <c r="C120" s="152"/>
      <c r="D120" s="143"/>
      <c r="E120" s="143"/>
      <c r="G120" s="132"/>
    </row>
    <row r="121" spans="2:7" x14ac:dyDescent="0.2">
      <c r="B121" s="142"/>
      <c r="C121" s="152"/>
      <c r="D121" s="145" t="s">
        <v>207</v>
      </c>
      <c r="E121" s="143"/>
      <c r="G121" s="132">
        <f>SUM(F115:F119)</f>
        <v>2304.88</v>
      </c>
    </row>
    <row r="122" spans="2:7" x14ac:dyDescent="0.2">
      <c r="B122" s="142"/>
      <c r="C122" s="152"/>
      <c r="D122" s="143"/>
      <c r="E122" s="143"/>
      <c r="G122" s="132"/>
    </row>
    <row r="123" spans="2:7" x14ac:dyDescent="0.2">
      <c r="B123" s="142"/>
      <c r="C123" s="152"/>
      <c r="D123" s="154" t="s">
        <v>91</v>
      </c>
      <c r="E123" s="154"/>
      <c r="F123" s="189"/>
      <c r="G123" s="134">
        <f>G121</f>
        <v>2304.88</v>
      </c>
    </row>
    <row r="124" spans="2:7" x14ac:dyDescent="0.2">
      <c r="B124" s="142"/>
      <c r="C124" s="152"/>
      <c r="D124" s="143"/>
      <c r="E124" s="143"/>
      <c r="G124" s="132"/>
    </row>
    <row r="125" spans="2:7" x14ac:dyDescent="0.2">
      <c r="B125" s="142"/>
      <c r="C125" s="152"/>
      <c r="D125" s="143"/>
      <c r="E125" s="143"/>
      <c r="G125" s="132"/>
    </row>
    <row r="126" spans="2:7" x14ac:dyDescent="0.2">
      <c r="B126" s="142">
        <v>489</v>
      </c>
      <c r="C126" s="152">
        <v>3200</v>
      </c>
      <c r="D126" s="143" t="s">
        <v>92</v>
      </c>
      <c r="E126" s="143" t="s">
        <v>58</v>
      </c>
      <c r="F126" s="176">
        <f>28400+14000</f>
        <v>42400</v>
      </c>
      <c r="G126" s="132"/>
    </row>
    <row r="127" spans="2:7" x14ac:dyDescent="0.2">
      <c r="B127" s="163" t="s">
        <v>227</v>
      </c>
      <c r="C127" s="152">
        <v>3200</v>
      </c>
      <c r="D127" s="145" t="s">
        <v>244</v>
      </c>
      <c r="E127" s="145" t="s">
        <v>58</v>
      </c>
      <c r="F127" s="190">
        <v>0</v>
      </c>
      <c r="G127" s="153"/>
    </row>
    <row r="128" spans="2:7" x14ac:dyDescent="0.2">
      <c r="B128" s="164" t="s">
        <v>242</v>
      </c>
      <c r="C128" s="152">
        <v>3200</v>
      </c>
      <c r="D128" s="145" t="s">
        <v>243</v>
      </c>
      <c r="E128" s="145" t="s">
        <v>58</v>
      </c>
      <c r="F128" s="176">
        <v>10000</v>
      </c>
      <c r="G128" s="146"/>
    </row>
    <row r="129" spans="2:9" x14ac:dyDescent="0.2">
      <c r="B129" s="163"/>
      <c r="C129" s="152"/>
      <c r="D129" s="145"/>
      <c r="E129" s="145"/>
      <c r="G129" s="132"/>
    </row>
    <row r="130" spans="2:9" x14ac:dyDescent="0.2">
      <c r="B130" s="142"/>
      <c r="C130" s="152"/>
      <c r="D130" s="143" t="s">
        <v>93</v>
      </c>
      <c r="E130" s="143"/>
      <c r="G130" s="132">
        <f>SUM(F126:F128)</f>
        <v>52400</v>
      </c>
    </row>
    <row r="131" spans="2:9" x14ac:dyDescent="0.2">
      <c r="B131" s="142"/>
      <c r="C131" s="152"/>
      <c r="D131" s="143"/>
      <c r="E131" s="143"/>
      <c r="G131" s="132"/>
    </row>
    <row r="132" spans="2:9" x14ac:dyDescent="0.2">
      <c r="B132" s="142"/>
      <c r="C132" s="152"/>
      <c r="D132" s="154" t="s">
        <v>94</v>
      </c>
      <c r="E132" s="154"/>
      <c r="F132" s="189"/>
      <c r="G132" s="134">
        <f>G130</f>
        <v>52400</v>
      </c>
    </row>
    <row r="133" spans="2:9" x14ac:dyDescent="0.2">
      <c r="B133" s="142"/>
      <c r="C133" s="152"/>
      <c r="D133" s="143"/>
      <c r="E133" s="143"/>
      <c r="G133" s="132"/>
    </row>
    <row r="134" spans="2:9" x14ac:dyDescent="0.2">
      <c r="B134" s="142"/>
      <c r="C134" s="152"/>
      <c r="D134" s="143"/>
      <c r="E134" s="143"/>
      <c r="G134" s="132"/>
    </row>
    <row r="135" spans="2:9" x14ac:dyDescent="0.2">
      <c r="B135" s="142">
        <v>629</v>
      </c>
      <c r="C135" s="152">
        <v>3230</v>
      </c>
      <c r="D135" s="143" t="s">
        <v>95</v>
      </c>
      <c r="E135" s="143" t="s">
        <v>59</v>
      </c>
      <c r="F135" s="176">
        <v>16000</v>
      </c>
      <c r="G135" s="132"/>
    </row>
    <row r="136" spans="2:9" x14ac:dyDescent="0.2">
      <c r="B136" s="142">
        <v>629</v>
      </c>
      <c r="C136" s="152">
        <v>3231</v>
      </c>
      <c r="D136" s="143" t="s">
        <v>95</v>
      </c>
      <c r="E136" s="143" t="s">
        <v>60</v>
      </c>
      <c r="F136" s="176">
        <v>16000</v>
      </c>
      <c r="G136" s="176"/>
    </row>
    <row r="137" spans="2:9" x14ac:dyDescent="0.2">
      <c r="B137" s="143">
        <v>629</v>
      </c>
      <c r="C137" s="165">
        <v>3200</v>
      </c>
      <c r="D137" s="143" t="s">
        <v>95</v>
      </c>
      <c r="E137" s="143" t="s">
        <v>58</v>
      </c>
      <c r="F137" s="176">
        <v>5516</v>
      </c>
      <c r="G137" s="132"/>
    </row>
    <row r="138" spans="2:9" x14ac:dyDescent="0.2">
      <c r="B138" s="143"/>
      <c r="C138" s="165"/>
      <c r="D138" s="143" t="s">
        <v>96</v>
      </c>
      <c r="E138" s="143"/>
      <c r="G138" s="132">
        <f>SUM(F135:F138)</f>
        <v>37516</v>
      </c>
    </row>
    <row r="139" spans="2:9" x14ac:dyDescent="0.2">
      <c r="B139" s="143"/>
      <c r="C139" s="165"/>
      <c r="D139" s="143"/>
      <c r="E139" s="143"/>
      <c r="G139" s="132"/>
    </row>
    <row r="140" spans="2:9" x14ac:dyDescent="0.2">
      <c r="B140" s="143"/>
      <c r="C140" s="165"/>
      <c r="D140" s="154" t="s">
        <v>97</v>
      </c>
      <c r="E140" s="154"/>
      <c r="F140" s="189"/>
      <c r="G140" s="134">
        <f>G138</f>
        <v>37516</v>
      </c>
    </row>
    <row r="141" spans="2:9" x14ac:dyDescent="0.2">
      <c r="B141" s="158"/>
      <c r="C141" s="166"/>
      <c r="D141" s="158"/>
      <c r="E141" s="158"/>
      <c r="F141" s="191"/>
      <c r="G141" s="162"/>
    </row>
    <row r="142" spans="2:9" ht="13.5" thickBot="1" x14ac:dyDescent="0.25">
      <c r="B142" s="143"/>
      <c r="C142" s="165"/>
      <c r="D142" s="167" t="s">
        <v>194</v>
      </c>
      <c r="E142" s="167"/>
      <c r="F142" s="188"/>
      <c r="G142" s="168">
        <f>SUM(G61,G112,G123,G132,G140)</f>
        <v>2794109.3406070005</v>
      </c>
    </row>
    <row r="143" spans="2:9" ht="13.5" thickTop="1" x14ac:dyDescent="0.2">
      <c r="C143" s="16"/>
      <c r="G143" s="8"/>
    </row>
    <row r="144" spans="2:9" x14ac:dyDescent="0.2">
      <c r="C144" s="16"/>
      <c r="E144" s="19"/>
      <c r="G144" s="20">
        <f>'1_Ingressos'!E63</f>
        <v>2794109.34</v>
      </c>
      <c r="I144" s="201"/>
    </row>
    <row r="145" spans="3:9" s="17" customFormat="1" x14ac:dyDescent="0.2">
      <c r="C145" s="137"/>
      <c r="E145" s="110"/>
      <c r="G145" s="138"/>
      <c r="I145" s="192"/>
    </row>
    <row r="146" spans="3:9" s="17" customFormat="1" x14ac:dyDescent="0.2">
      <c r="C146" s="137"/>
      <c r="D146" s="139"/>
      <c r="G146" s="200"/>
      <c r="I146" s="193"/>
    </row>
    <row r="147" spans="3:9" s="17" customFormat="1" x14ac:dyDescent="0.2">
      <c r="C147" s="137"/>
      <c r="G147" s="140">
        <f>(G142-G144)</f>
        <v>6.0700066387653351E-4</v>
      </c>
      <c r="I147" s="191"/>
    </row>
    <row r="148" spans="3:9" x14ac:dyDescent="0.2">
      <c r="C148" s="16"/>
      <c r="G148" s="8"/>
      <c r="I148" s="176"/>
    </row>
    <row r="149" spans="3:9" x14ac:dyDescent="0.2">
      <c r="C149" s="16"/>
      <c r="D149" s="172"/>
      <c r="G149" s="8"/>
      <c r="I149" s="201"/>
    </row>
    <row r="150" spans="3:9" x14ac:dyDescent="0.2">
      <c r="C150" s="16"/>
      <c r="G150" s="8"/>
    </row>
    <row r="151" spans="3:9" x14ac:dyDescent="0.2">
      <c r="C151" s="16"/>
      <c r="G151" s="8"/>
    </row>
    <row r="152" spans="3:9" x14ac:dyDescent="0.2">
      <c r="C152" s="16"/>
      <c r="G152" s="8"/>
    </row>
    <row r="153" spans="3:9" x14ac:dyDescent="0.2">
      <c r="C153" s="16"/>
      <c r="G153" s="8"/>
    </row>
    <row r="154" spans="3:9" x14ac:dyDescent="0.2">
      <c r="C154" s="16"/>
      <c r="G154" s="8"/>
    </row>
    <row r="155" spans="3:9" x14ac:dyDescent="0.2">
      <c r="C155" s="16"/>
      <c r="G155" s="8"/>
    </row>
    <row r="156" spans="3:9" x14ac:dyDescent="0.2">
      <c r="C156" s="16"/>
      <c r="G156" s="8"/>
    </row>
    <row r="157" spans="3:9" x14ac:dyDescent="0.2">
      <c r="C157" s="16"/>
      <c r="G157" s="8"/>
    </row>
    <row r="158" spans="3:9" x14ac:dyDescent="0.2">
      <c r="C158" s="16"/>
      <c r="G158" s="8"/>
    </row>
    <row r="159" spans="3:9" x14ac:dyDescent="0.2">
      <c r="C159" s="16"/>
      <c r="G159" s="8"/>
    </row>
    <row r="160" spans="3:9" x14ac:dyDescent="0.2">
      <c r="C160" s="16"/>
      <c r="G160" s="8"/>
    </row>
    <row r="161" spans="3:7" x14ac:dyDescent="0.2">
      <c r="C161" s="16"/>
      <c r="G161" s="8"/>
    </row>
    <row r="162" spans="3:7" x14ac:dyDescent="0.2">
      <c r="C162" s="16"/>
      <c r="G162" s="8"/>
    </row>
    <row r="163" spans="3:7" x14ac:dyDescent="0.2">
      <c r="C163" s="16"/>
      <c r="G163" s="8"/>
    </row>
    <row r="164" spans="3:7" x14ac:dyDescent="0.2">
      <c r="C164" s="16"/>
      <c r="G164" s="8"/>
    </row>
    <row r="165" spans="3:7" x14ac:dyDescent="0.2">
      <c r="C165" s="16"/>
      <c r="G165" s="8"/>
    </row>
    <row r="166" spans="3:7" x14ac:dyDescent="0.2">
      <c r="C166" s="16"/>
      <c r="G166" s="8"/>
    </row>
    <row r="167" spans="3:7" x14ac:dyDescent="0.2">
      <c r="C167" s="16"/>
      <c r="G167" s="8"/>
    </row>
    <row r="168" spans="3:7" x14ac:dyDescent="0.2">
      <c r="C168" s="16"/>
      <c r="G168" s="8"/>
    </row>
    <row r="169" spans="3:7" x14ac:dyDescent="0.2">
      <c r="C169" s="16"/>
      <c r="G169" s="8"/>
    </row>
    <row r="170" spans="3:7" x14ac:dyDescent="0.2">
      <c r="C170" s="16"/>
      <c r="G170" s="8"/>
    </row>
    <row r="171" spans="3:7" x14ac:dyDescent="0.2">
      <c r="C171" s="16"/>
      <c r="G171" s="8"/>
    </row>
    <row r="172" spans="3:7" x14ac:dyDescent="0.2">
      <c r="C172" s="16"/>
      <c r="G172" s="8"/>
    </row>
    <row r="173" spans="3:7" x14ac:dyDescent="0.2">
      <c r="C173" s="16"/>
      <c r="G173" s="8"/>
    </row>
    <row r="174" spans="3:7" x14ac:dyDescent="0.2">
      <c r="C174" s="16"/>
      <c r="G174" s="8"/>
    </row>
    <row r="175" spans="3:7" x14ac:dyDescent="0.2">
      <c r="C175" s="16"/>
      <c r="G175" s="8"/>
    </row>
    <row r="176" spans="3:7" x14ac:dyDescent="0.2">
      <c r="C176" s="16"/>
      <c r="G176" s="8"/>
    </row>
    <row r="177" spans="3:7" x14ac:dyDescent="0.2">
      <c r="C177" s="16"/>
      <c r="G177" s="8"/>
    </row>
    <row r="178" spans="3:7" x14ac:dyDescent="0.2">
      <c r="C178" s="16"/>
      <c r="G178" s="8"/>
    </row>
    <row r="179" spans="3:7" x14ac:dyDescent="0.2">
      <c r="C179" s="16"/>
      <c r="G179" s="8"/>
    </row>
    <row r="180" spans="3:7" x14ac:dyDescent="0.2">
      <c r="C180" s="16"/>
      <c r="G180" s="8"/>
    </row>
    <row r="181" spans="3:7" x14ac:dyDescent="0.2">
      <c r="C181" s="16"/>
      <c r="G181" s="8"/>
    </row>
    <row r="182" spans="3:7" x14ac:dyDescent="0.2">
      <c r="C182" s="16"/>
      <c r="G182" s="8"/>
    </row>
    <row r="183" spans="3:7" x14ac:dyDescent="0.2">
      <c r="C183" s="16"/>
      <c r="G183" s="8"/>
    </row>
    <row r="184" spans="3:7" x14ac:dyDescent="0.2">
      <c r="C184" s="16"/>
      <c r="G184" s="8"/>
    </row>
    <row r="185" spans="3:7" x14ac:dyDescent="0.2">
      <c r="C185" s="16"/>
      <c r="G185" s="8"/>
    </row>
    <row r="186" spans="3:7" x14ac:dyDescent="0.2">
      <c r="C186" s="16"/>
      <c r="G186" s="8"/>
    </row>
    <row r="187" spans="3:7" x14ac:dyDescent="0.2">
      <c r="C187" s="16"/>
      <c r="G187" s="8"/>
    </row>
    <row r="188" spans="3:7" x14ac:dyDescent="0.2">
      <c r="C188" s="16"/>
      <c r="G188" s="8"/>
    </row>
    <row r="189" spans="3:7" x14ac:dyDescent="0.2">
      <c r="C189" s="16"/>
      <c r="G189" s="8"/>
    </row>
    <row r="190" spans="3:7" x14ac:dyDescent="0.2">
      <c r="C190" s="16"/>
      <c r="G190" s="8"/>
    </row>
    <row r="191" spans="3:7" x14ac:dyDescent="0.2">
      <c r="C191" s="16"/>
      <c r="G191" s="8"/>
    </row>
    <row r="192" spans="3:7" x14ac:dyDescent="0.2">
      <c r="C192" s="16"/>
      <c r="G192" s="8"/>
    </row>
    <row r="193" spans="3:7" x14ac:dyDescent="0.2">
      <c r="C193" s="16"/>
      <c r="G193" s="8"/>
    </row>
    <row r="194" spans="3:7" x14ac:dyDescent="0.2">
      <c r="C194" s="16"/>
      <c r="G194" s="8"/>
    </row>
    <row r="195" spans="3:7" x14ac:dyDescent="0.2">
      <c r="C195" s="16"/>
      <c r="G195" s="8"/>
    </row>
    <row r="196" spans="3:7" x14ac:dyDescent="0.2">
      <c r="C196" s="16"/>
      <c r="G196" s="8"/>
    </row>
    <row r="197" spans="3:7" x14ac:dyDescent="0.2">
      <c r="C197" s="16"/>
      <c r="G197" s="8"/>
    </row>
    <row r="198" spans="3:7" x14ac:dyDescent="0.2">
      <c r="C198" s="16"/>
      <c r="G198" s="8"/>
    </row>
    <row r="199" spans="3:7" x14ac:dyDescent="0.2">
      <c r="C199" s="16"/>
      <c r="G199" s="8"/>
    </row>
    <row r="200" spans="3:7" x14ac:dyDescent="0.2">
      <c r="C200" s="16"/>
      <c r="G200" s="8"/>
    </row>
    <row r="201" spans="3:7" x14ac:dyDescent="0.2">
      <c r="C201" s="16"/>
      <c r="G201" s="8"/>
    </row>
    <row r="202" spans="3:7" x14ac:dyDescent="0.2">
      <c r="C202" s="16"/>
      <c r="G202" s="8"/>
    </row>
    <row r="203" spans="3:7" x14ac:dyDescent="0.2">
      <c r="C203" s="16"/>
      <c r="G203" s="8"/>
    </row>
    <row r="204" spans="3:7" x14ac:dyDescent="0.2">
      <c r="C204" s="16"/>
      <c r="G204" s="8"/>
    </row>
    <row r="205" spans="3:7" x14ac:dyDescent="0.2">
      <c r="C205" s="16"/>
      <c r="G205" s="8"/>
    </row>
    <row r="206" spans="3:7" x14ac:dyDescent="0.2">
      <c r="C206" s="16"/>
      <c r="G206" s="8"/>
    </row>
    <row r="207" spans="3:7" x14ac:dyDescent="0.2">
      <c r="C207" s="16"/>
      <c r="G207" s="8"/>
    </row>
    <row r="208" spans="3:7" x14ac:dyDescent="0.2">
      <c r="C208" s="16"/>
      <c r="G208" s="8"/>
    </row>
    <row r="209" spans="3:7" x14ac:dyDescent="0.2">
      <c r="C209" s="16"/>
      <c r="G209" s="8"/>
    </row>
    <row r="210" spans="3:7" x14ac:dyDescent="0.2">
      <c r="C210" s="16"/>
      <c r="G210" s="8"/>
    </row>
    <row r="211" spans="3:7" x14ac:dyDescent="0.2">
      <c r="C211" s="16"/>
      <c r="G211" s="8"/>
    </row>
    <row r="212" spans="3:7" x14ac:dyDescent="0.2">
      <c r="C212" s="16"/>
      <c r="G212" s="8"/>
    </row>
    <row r="213" spans="3:7" x14ac:dyDescent="0.2">
      <c r="C213" s="16"/>
      <c r="G213" s="8"/>
    </row>
    <row r="214" spans="3:7" x14ac:dyDescent="0.2">
      <c r="C214" s="16"/>
      <c r="G214" s="8"/>
    </row>
    <row r="215" spans="3:7" x14ac:dyDescent="0.2">
      <c r="C215" s="16"/>
      <c r="G215" s="8"/>
    </row>
    <row r="216" spans="3:7" x14ac:dyDescent="0.2">
      <c r="C216" s="16"/>
      <c r="G216" s="8"/>
    </row>
    <row r="217" spans="3:7" x14ac:dyDescent="0.2">
      <c r="C217" s="16"/>
      <c r="G217" s="8"/>
    </row>
    <row r="218" spans="3:7" x14ac:dyDescent="0.2">
      <c r="C218" s="16"/>
      <c r="G218" s="8"/>
    </row>
    <row r="219" spans="3:7" x14ac:dyDescent="0.2">
      <c r="C219" s="16"/>
      <c r="G219" s="8"/>
    </row>
    <row r="220" spans="3:7" x14ac:dyDescent="0.2">
      <c r="C220" s="16"/>
      <c r="G220" s="8"/>
    </row>
    <row r="221" spans="3:7" x14ac:dyDescent="0.2">
      <c r="C221" s="16"/>
      <c r="G221" s="8"/>
    </row>
    <row r="222" spans="3:7" x14ac:dyDescent="0.2">
      <c r="C222" s="16"/>
      <c r="G222" s="8"/>
    </row>
    <row r="223" spans="3:7" x14ac:dyDescent="0.2">
      <c r="C223" s="16"/>
      <c r="G223" s="8"/>
    </row>
    <row r="224" spans="3:7" x14ac:dyDescent="0.2">
      <c r="C224" s="16"/>
      <c r="G224" s="8"/>
    </row>
    <row r="225" spans="3:7" x14ac:dyDescent="0.2">
      <c r="C225" s="16"/>
      <c r="G225" s="8"/>
    </row>
    <row r="226" spans="3:7" x14ac:dyDescent="0.2">
      <c r="C226" s="16"/>
      <c r="G226" s="8"/>
    </row>
    <row r="227" spans="3:7" x14ac:dyDescent="0.2">
      <c r="C227" s="16"/>
      <c r="G227" s="8"/>
    </row>
    <row r="228" spans="3:7" x14ac:dyDescent="0.2">
      <c r="C228" s="16"/>
      <c r="G228" s="8"/>
    </row>
    <row r="229" spans="3:7" x14ac:dyDescent="0.2">
      <c r="C229" s="16"/>
      <c r="G229" s="8"/>
    </row>
    <row r="230" spans="3:7" x14ac:dyDescent="0.2">
      <c r="C230" s="16"/>
      <c r="G230" s="8"/>
    </row>
    <row r="231" spans="3:7" x14ac:dyDescent="0.2">
      <c r="C231" s="16"/>
      <c r="G231" s="8"/>
    </row>
    <row r="232" spans="3:7" x14ac:dyDescent="0.2">
      <c r="C232" s="16"/>
      <c r="G232" s="8"/>
    </row>
    <row r="233" spans="3:7" x14ac:dyDescent="0.2">
      <c r="C233" s="16"/>
      <c r="G233" s="8"/>
    </row>
    <row r="234" spans="3:7" x14ac:dyDescent="0.2">
      <c r="C234" s="16"/>
      <c r="G234" s="8"/>
    </row>
    <row r="235" spans="3:7" x14ac:dyDescent="0.2">
      <c r="C235" s="16"/>
      <c r="G235" s="8"/>
    </row>
    <row r="236" spans="3:7" x14ac:dyDescent="0.2">
      <c r="C236" s="16"/>
      <c r="G236" s="8"/>
    </row>
    <row r="237" spans="3:7" x14ac:dyDescent="0.2">
      <c r="C237" s="16"/>
      <c r="G237" s="8"/>
    </row>
    <row r="238" spans="3:7" x14ac:dyDescent="0.2">
      <c r="C238" s="16"/>
      <c r="G238" s="8"/>
    </row>
    <row r="239" spans="3:7" x14ac:dyDescent="0.2">
      <c r="C239" s="16"/>
      <c r="G239" s="8"/>
    </row>
    <row r="240" spans="3:7" x14ac:dyDescent="0.2">
      <c r="C240" s="16"/>
      <c r="G240" s="8"/>
    </row>
    <row r="241" spans="3:7" x14ac:dyDescent="0.2">
      <c r="C241" s="16"/>
      <c r="G241" s="8"/>
    </row>
    <row r="242" spans="3:7" x14ac:dyDescent="0.2">
      <c r="C242" s="16"/>
      <c r="G242" s="8"/>
    </row>
    <row r="243" spans="3:7" x14ac:dyDescent="0.2">
      <c r="C243" s="16"/>
      <c r="G243" s="8"/>
    </row>
    <row r="244" spans="3:7" x14ac:dyDescent="0.2">
      <c r="C244" s="16"/>
      <c r="G244" s="8"/>
    </row>
    <row r="245" spans="3:7" x14ac:dyDescent="0.2">
      <c r="C245" s="16"/>
      <c r="G245" s="8"/>
    </row>
    <row r="246" spans="3:7" x14ac:dyDescent="0.2">
      <c r="C246" s="16"/>
      <c r="G246" s="8"/>
    </row>
    <row r="247" spans="3:7" x14ac:dyDescent="0.2">
      <c r="C247" s="16"/>
      <c r="G247" s="8"/>
    </row>
    <row r="248" spans="3:7" x14ac:dyDescent="0.2">
      <c r="C248" s="16"/>
      <c r="G248" s="8"/>
    </row>
    <row r="249" spans="3:7" x14ac:dyDescent="0.2">
      <c r="C249" s="16"/>
      <c r="G249" s="8"/>
    </row>
    <row r="250" spans="3:7" x14ac:dyDescent="0.2">
      <c r="C250" s="16"/>
      <c r="G250" s="8"/>
    </row>
    <row r="251" spans="3:7" x14ac:dyDescent="0.2">
      <c r="C251" s="16"/>
      <c r="G251" s="8"/>
    </row>
    <row r="252" spans="3:7" x14ac:dyDescent="0.2">
      <c r="C252" s="16"/>
      <c r="G252" s="8"/>
    </row>
    <row r="253" spans="3:7" x14ac:dyDescent="0.2">
      <c r="C253" s="16"/>
      <c r="G253" s="8"/>
    </row>
    <row r="254" spans="3:7" x14ac:dyDescent="0.2">
      <c r="C254" s="16"/>
      <c r="G254" s="8"/>
    </row>
    <row r="255" spans="3:7" x14ac:dyDescent="0.2">
      <c r="C255" s="16"/>
      <c r="G255" s="8"/>
    </row>
    <row r="256" spans="3:7" x14ac:dyDescent="0.2">
      <c r="C256" s="16"/>
      <c r="G256" s="8"/>
    </row>
    <row r="257" spans="3:7" x14ac:dyDescent="0.2">
      <c r="C257" s="16"/>
      <c r="G257" s="8"/>
    </row>
    <row r="258" spans="3:7" x14ac:dyDescent="0.2">
      <c r="C258" s="16"/>
      <c r="G258" s="8"/>
    </row>
    <row r="259" spans="3:7" x14ac:dyDescent="0.2">
      <c r="C259" s="16"/>
      <c r="G259" s="8"/>
    </row>
    <row r="260" spans="3:7" x14ac:dyDescent="0.2">
      <c r="C260" s="16"/>
      <c r="G260" s="8"/>
    </row>
    <row r="261" spans="3:7" x14ac:dyDescent="0.2">
      <c r="C261" s="16"/>
      <c r="G261" s="8"/>
    </row>
    <row r="262" spans="3:7" x14ac:dyDescent="0.2">
      <c r="C262" s="16"/>
      <c r="G262" s="8"/>
    </row>
    <row r="263" spans="3:7" x14ac:dyDescent="0.2">
      <c r="C263" s="16"/>
      <c r="G263" s="8"/>
    </row>
    <row r="264" spans="3:7" x14ac:dyDescent="0.2">
      <c r="C264" s="16"/>
      <c r="G264" s="8"/>
    </row>
    <row r="265" spans="3:7" x14ac:dyDescent="0.2">
      <c r="C265" s="16"/>
      <c r="G265" s="8"/>
    </row>
    <row r="266" spans="3:7" x14ac:dyDescent="0.2">
      <c r="C266" s="16"/>
      <c r="G266" s="8"/>
    </row>
    <row r="267" spans="3:7" x14ac:dyDescent="0.2">
      <c r="C267" s="16"/>
      <c r="G267" s="8"/>
    </row>
    <row r="268" spans="3:7" x14ac:dyDescent="0.2">
      <c r="C268" s="16"/>
      <c r="G268" s="8"/>
    </row>
    <row r="269" spans="3:7" x14ac:dyDescent="0.2">
      <c r="C269" s="16"/>
      <c r="G269" s="8"/>
    </row>
    <row r="270" spans="3:7" x14ac:dyDescent="0.2">
      <c r="C270" s="16"/>
      <c r="G270" s="8"/>
    </row>
    <row r="271" spans="3:7" x14ac:dyDescent="0.2">
      <c r="C271" s="16"/>
      <c r="G271" s="8"/>
    </row>
    <row r="272" spans="3:7" x14ac:dyDescent="0.2">
      <c r="C272" s="16"/>
      <c r="G272" s="8"/>
    </row>
    <row r="273" spans="3:7" x14ac:dyDescent="0.2">
      <c r="C273" s="16"/>
      <c r="G273" s="8"/>
    </row>
  </sheetData>
  <mergeCells count="5">
    <mergeCell ref="B6:D7"/>
    <mergeCell ref="D32:D33"/>
    <mergeCell ref="E32:E33"/>
    <mergeCell ref="D86:D87"/>
    <mergeCell ref="E86:E87"/>
  </mergeCells>
  <phoneticPr fontId="6" type="noConversion"/>
  <pageMargins left="0.70866141732283472" right="0.51181102362204722" top="1.9685039370078741" bottom="1.1811023622047245" header="0.51181102362204722" footer="0.51181102362204722"/>
  <pageSetup paperSize="9" scale="50" firstPageNumber="0" orientation="portrait" r:id="rId1"/>
  <headerFooter alignWithMargins="0"/>
  <rowBreaks count="1" manualBreakCount="1">
    <brk id="28" max="16383" man="1"/>
  </row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B1:J256"/>
  <sheetViews>
    <sheetView showGridLines="0" topLeftCell="A101" zoomScale="90" zoomScaleNormal="90" workbookViewId="0">
      <selection activeCell="F135" sqref="F135"/>
    </sheetView>
  </sheetViews>
  <sheetFormatPr baseColWidth="10" defaultColWidth="11.42578125" defaultRowHeight="12.75" x14ac:dyDescent="0.2"/>
  <cols>
    <col min="1" max="1" width="11.42578125" style="1"/>
    <col min="2" max="2" width="6" style="1" customWidth="1"/>
    <col min="3" max="3" width="5.7109375" style="1" customWidth="1"/>
    <col min="4" max="4" width="42" style="1" customWidth="1"/>
    <col min="5" max="5" width="28.7109375" style="1" customWidth="1"/>
    <col min="6" max="6" width="12.28515625" style="146" customWidth="1"/>
    <col min="7" max="7" width="14.42578125" style="77" customWidth="1"/>
    <col min="8" max="8" width="13.85546875" style="2" customWidth="1"/>
    <col min="9" max="9" width="12.42578125" style="2" customWidth="1"/>
    <col min="10" max="16384" width="11.42578125" style="1"/>
  </cols>
  <sheetData>
    <row r="1" spans="2:10" x14ac:dyDescent="0.2">
      <c r="B1" s="3" t="s">
        <v>274</v>
      </c>
      <c r="C1" s="93"/>
      <c r="D1" s="93"/>
      <c r="E1" s="93"/>
      <c r="F1" s="133"/>
      <c r="H1" s="91"/>
      <c r="I1" s="91"/>
    </row>
    <row r="2" spans="2:10" x14ac:dyDescent="0.2">
      <c r="B2" s="4" t="s">
        <v>209</v>
      </c>
      <c r="C2" s="93"/>
      <c r="D2" s="93"/>
      <c r="E2" s="93"/>
      <c r="F2" s="133"/>
      <c r="H2" s="91"/>
      <c r="I2" s="91"/>
    </row>
    <row r="3" spans="2:10" x14ac:dyDescent="0.2">
      <c r="B3" s="93"/>
      <c r="C3" s="93"/>
      <c r="D3" s="93"/>
      <c r="E3" s="93"/>
      <c r="F3" s="133"/>
      <c r="H3" s="91"/>
      <c r="I3" s="91"/>
    </row>
    <row r="4" spans="2:10" x14ac:dyDescent="0.2">
      <c r="B4" s="93" t="s">
        <v>198</v>
      </c>
      <c r="C4" s="93"/>
      <c r="D4" s="93"/>
      <c r="E4" s="93"/>
      <c r="F4" s="133"/>
      <c r="H4" s="91"/>
      <c r="I4" s="91"/>
    </row>
    <row r="5" spans="2:10" x14ac:dyDescent="0.2">
      <c r="B5" s="93"/>
      <c r="C5" s="93"/>
      <c r="D5" s="93"/>
      <c r="E5" s="93"/>
      <c r="F5" s="133"/>
      <c r="H5" s="91"/>
      <c r="I5" s="91"/>
    </row>
    <row r="6" spans="2:10" x14ac:dyDescent="0.2">
      <c r="B6" s="240" t="s">
        <v>2</v>
      </c>
      <c r="C6" s="240"/>
      <c r="D6" s="240"/>
      <c r="E6" s="93"/>
      <c r="F6" s="133"/>
      <c r="G6" s="85" t="s">
        <v>3</v>
      </c>
      <c r="H6" s="91"/>
      <c r="I6" s="91"/>
    </row>
    <row r="7" spans="2:10" x14ac:dyDescent="0.2">
      <c r="B7" s="241"/>
      <c r="C7" s="241"/>
      <c r="D7" s="241"/>
      <c r="E7" s="98"/>
      <c r="F7" s="174"/>
      <c r="G7" s="86" t="s">
        <v>210</v>
      </c>
      <c r="H7" s="100"/>
      <c r="I7" s="100"/>
      <c r="J7" s="17"/>
    </row>
    <row r="8" spans="2:10" x14ac:dyDescent="0.2">
      <c r="B8" s="93"/>
      <c r="C8" s="93"/>
      <c r="D8" s="93"/>
      <c r="E8" s="93"/>
      <c r="F8" s="133"/>
      <c r="H8" s="91"/>
      <c r="I8" s="91"/>
    </row>
    <row r="9" spans="2:10" x14ac:dyDescent="0.2">
      <c r="B9" s="93" t="s">
        <v>199</v>
      </c>
      <c r="C9" s="93"/>
      <c r="D9" s="93"/>
      <c r="E9" s="93"/>
      <c r="F9" s="133"/>
      <c r="G9" s="87">
        <v>0</v>
      </c>
      <c r="H9" s="91"/>
      <c r="I9" s="91"/>
    </row>
    <row r="10" spans="2:10" x14ac:dyDescent="0.2">
      <c r="B10" s="93"/>
      <c r="C10" s="93"/>
      <c r="D10" s="93"/>
      <c r="E10" s="93"/>
      <c r="F10" s="133"/>
      <c r="G10" s="87"/>
      <c r="H10" s="91"/>
      <c r="I10" s="91"/>
    </row>
    <row r="11" spans="2:10" x14ac:dyDescent="0.2">
      <c r="B11" s="93" t="s">
        <v>200</v>
      </c>
      <c r="C11" s="93"/>
      <c r="D11" s="93"/>
      <c r="E11" s="93"/>
      <c r="F11" s="133"/>
      <c r="G11" s="87">
        <f>SUM(I35)</f>
        <v>569146.90070700028</v>
      </c>
      <c r="H11" s="91"/>
      <c r="I11" s="91"/>
    </row>
    <row r="12" spans="2:10" x14ac:dyDescent="0.2">
      <c r="B12" s="93"/>
      <c r="C12" s="93"/>
      <c r="D12" s="93"/>
      <c r="E12" s="93"/>
      <c r="F12" s="133"/>
      <c r="G12" s="87"/>
      <c r="H12" s="91"/>
      <c r="I12" s="91"/>
    </row>
    <row r="13" spans="2:10" x14ac:dyDescent="0.2">
      <c r="B13" s="93" t="s">
        <v>201</v>
      </c>
      <c r="C13" s="93"/>
      <c r="D13" s="93"/>
      <c r="E13" s="93"/>
      <c r="F13" s="133"/>
      <c r="G13" s="87">
        <f>SUM(I120)</f>
        <v>2222762.4399000006</v>
      </c>
      <c r="H13" s="91"/>
      <c r="I13" s="91"/>
    </row>
    <row r="14" spans="2:10" x14ac:dyDescent="0.2">
      <c r="B14" s="93"/>
      <c r="C14" s="93"/>
      <c r="D14" s="93"/>
      <c r="E14" s="93"/>
      <c r="F14" s="133"/>
      <c r="G14" s="87"/>
      <c r="H14" s="91"/>
      <c r="I14" s="91"/>
    </row>
    <row r="15" spans="2:10" x14ac:dyDescent="0.2">
      <c r="B15" s="93" t="s">
        <v>202</v>
      </c>
      <c r="C15" s="93"/>
      <c r="D15" s="93"/>
      <c r="E15" s="93"/>
      <c r="F15" s="133"/>
      <c r="G15" s="87">
        <v>0</v>
      </c>
      <c r="H15" s="91"/>
      <c r="I15" s="91"/>
    </row>
    <row r="16" spans="2:10" x14ac:dyDescent="0.2">
      <c r="B16" s="93"/>
      <c r="C16" s="93"/>
      <c r="D16" s="93"/>
      <c r="E16" s="93"/>
      <c r="F16" s="133"/>
      <c r="G16" s="87"/>
      <c r="H16" s="91"/>
      <c r="I16" s="91"/>
    </row>
    <row r="17" spans="2:9" x14ac:dyDescent="0.2">
      <c r="B17" s="101" t="s">
        <v>203</v>
      </c>
      <c r="C17" s="93"/>
      <c r="D17" s="93"/>
      <c r="E17" s="93"/>
      <c r="F17" s="133"/>
      <c r="G17" s="87">
        <f>SUM(I126)</f>
        <v>2200</v>
      </c>
      <c r="H17" s="91"/>
      <c r="I17" s="91"/>
    </row>
    <row r="18" spans="2:9" x14ac:dyDescent="0.2">
      <c r="B18" s="93"/>
      <c r="C18" s="93"/>
      <c r="D18" s="93"/>
      <c r="E18" s="93"/>
      <c r="F18" s="133"/>
      <c r="G18" s="87"/>
      <c r="H18" s="91"/>
      <c r="I18" s="91"/>
    </row>
    <row r="19" spans="2:9" x14ac:dyDescent="0.2">
      <c r="B19" s="93" t="s">
        <v>98</v>
      </c>
      <c r="C19" s="93"/>
      <c r="D19" s="93"/>
      <c r="E19" s="93"/>
      <c r="F19" s="133"/>
      <c r="G19" s="87">
        <v>0</v>
      </c>
      <c r="H19" s="91"/>
      <c r="I19" s="91"/>
    </row>
    <row r="20" spans="2:9" x14ac:dyDescent="0.2">
      <c r="B20" s="93"/>
      <c r="C20" s="93"/>
      <c r="D20" s="93"/>
      <c r="E20" s="93"/>
      <c r="F20" s="133"/>
      <c r="G20" s="87"/>
      <c r="H20" s="91"/>
      <c r="I20" s="91"/>
    </row>
    <row r="21" spans="2:9" x14ac:dyDescent="0.2">
      <c r="B21" s="93"/>
      <c r="C21" s="93"/>
      <c r="D21" s="93"/>
      <c r="E21" s="93"/>
      <c r="F21" s="133"/>
      <c r="G21" s="87"/>
      <c r="H21" s="91"/>
      <c r="I21" s="91"/>
    </row>
    <row r="22" spans="2:9" ht="13.5" thickBot="1" x14ac:dyDescent="0.25">
      <c r="B22" s="78" t="s">
        <v>204</v>
      </c>
      <c r="C22" s="78"/>
      <c r="D22" s="78"/>
      <c r="E22" s="78"/>
      <c r="F22" s="168"/>
      <c r="G22" s="82">
        <f>'2_Despesa econòmica'!G142</f>
        <v>2794109.3406070005</v>
      </c>
      <c r="H22" s="91"/>
      <c r="I22" s="91"/>
    </row>
    <row r="23" spans="2:9" ht="13.5" thickTop="1" x14ac:dyDescent="0.2">
      <c r="B23" s="93"/>
      <c r="C23" s="93"/>
      <c r="D23" s="93"/>
      <c r="E23" s="93"/>
      <c r="F23" s="133"/>
      <c r="G23" s="87"/>
      <c r="H23" s="91"/>
      <c r="I23" s="91"/>
    </row>
    <row r="24" spans="2:9" x14ac:dyDescent="0.2">
      <c r="B24" s="93"/>
      <c r="C24" s="93"/>
      <c r="D24" s="93"/>
      <c r="E24" s="93"/>
      <c r="F24" s="133"/>
      <c r="G24" s="87"/>
      <c r="H24" s="91"/>
      <c r="I24" s="91"/>
    </row>
    <row r="25" spans="2:9" x14ac:dyDescent="0.2">
      <c r="B25" s="3" t="s">
        <v>274</v>
      </c>
      <c r="C25" s="93"/>
      <c r="D25" s="93"/>
      <c r="E25" s="93"/>
      <c r="F25" s="133"/>
      <c r="G25" s="87"/>
      <c r="H25" s="91"/>
      <c r="I25" s="91"/>
    </row>
    <row r="26" spans="2:9" x14ac:dyDescent="0.2">
      <c r="B26" s="4" t="s">
        <v>209</v>
      </c>
      <c r="C26" s="93"/>
      <c r="D26" s="93"/>
      <c r="E26" s="93"/>
      <c r="F26" s="133"/>
      <c r="G26" s="87"/>
      <c r="H26" s="91"/>
      <c r="I26" s="91"/>
    </row>
    <row r="27" spans="2:9" x14ac:dyDescent="0.2">
      <c r="B27" s="93"/>
      <c r="C27" s="93"/>
      <c r="D27" s="93"/>
      <c r="E27" s="93"/>
      <c r="F27" s="133"/>
      <c r="G27" s="88"/>
      <c r="H27" s="91"/>
      <c r="I27" s="91"/>
    </row>
    <row r="28" spans="2:9" x14ac:dyDescent="0.2">
      <c r="B28" s="95" t="s">
        <v>19</v>
      </c>
      <c r="C28" s="95" t="s">
        <v>19</v>
      </c>
      <c r="D28" s="236" t="s">
        <v>20</v>
      </c>
      <c r="E28" s="237" t="s">
        <v>197</v>
      </c>
      <c r="F28" s="159" t="s">
        <v>21</v>
      </c>
      <c r="G28" s="239" t="s">
        <v>3</v>
      </c>
      <c r="H28" s="239"/>
      <c r="I28" s="239"/>
    </row>
    <row r="29" spans="2:9" x14ac:dyDescent="0.2">
      <c r="B29" s="96" t="s">
        <v>52</v>
      </c>
      <c r="C29" s="96" t="s">
        <v>196</v>
      </c>
      <c r="D29" s="236"/>
      <c r="E29" s="238" t="s">
        <v>51</v>
      </c>
      <c r="F29" s="160" t="s">
        <v>54</v>
      </c>
      <c r="G29" s="90" t="s">
        <v>211</v>
      </c>
      <c r="H29" s="90" t="s">
        <v>212</v>
      </c>
      <c r="I29" s="90" t="s">
        <v>213</v>
      </c>
    </row>
    <row r="30" spans="2:9" x14ac:dyDescent="0.2">
      <c r="B30" s="93"/>
      <c r="C30" s="93"/>
      <c r="D30" s="93"/>
      <c r="E30" s="93"/>
      <c r="F30" s="133"/>
      <c r="H30" s="91"/>
      <c r="I30" s="91"/>
    </row>
    <row r="31" spans="2:9" x14ac:dyDescent="0.2">
      <c r="B31" s="93">
        <v>160</v>
      </c>
      <c r="C31" s="13">
        <v>2310</v>
      </c>
      <c r="D31" s="93" t="s">
        <v>65</v>
      </c>
      <c r="E31" s="93" t="s">
        <v>66</v>
      </c>
      <c r="F31" s="133">
        <f>'2_Despesa econòmica'!F54</f>
        <v>569146.90070700028</v>
      </c>
      <c r="H31" s="91"/>
      <c r="I31" s="91"/>
    </row>
    <row r="32" spans="2:9" x14ac:dyDescent="0.2">
      <c r="B32" s="93"/>
      <c r="C32" s="13"/>
      <c r="D32" s="93"/>
      <c r="E32" s="93"/>
      <c r="F32" s="133"/>
      <c r="H32" s="91"/>
      <c r="I32" s="91"/>
    </row>
    <row r="33" spans="2:9" s="4" customFormat="1" x14ac:dyDescent="0.2">
      <c r="C33" s="13"/>
      <c r="D33" s="4" t="s">
        <v>214</v>
      </c>
      <c r="F33" s="161"/>
      <c r="G33" s="77">
        <f>SUM(F31)</f>
        <v>569146.90070700028</v>
      </c>
      <c r="H33" s="77"/>
      <c r="I33" s="77"/>
    </row>
    <row r="34" spans="2:9" s="4" customFormat="1" ht="15.75" customHeight="1" x14ac:dyDescent="0.2">
      <c r="C34" s="13"/>
      <c r="D34" s="4" t="s">
        <v>215</v>
      </c>
      <c r="F34" s="161"/>
      <c r="G34" s="77"/>
      <c r="H34" s="77">
        <f>SUM(G33)</f>
        <v>569146.90070700028</v>
      </c>
      <c r="I34" s="77"/>
    </row>
    <row r="35" spans="2:9" s="4" customFormat="1" ht="15.75" customHeight="1" x14ac:dyDescent="0.2">
      <c r="C35" s="13"/>
      <c r="D35" s="80" t="s">
        <v>216</v>
      </c>
      <c r="E35" s="80"/>
      <c r="F35" s="134"/>
      <c r="G35" s="81"/>
      <c r="H35" s="81"/>
      <c r="I35" s="81">
        <f>SUM(H34)</f>
        <v>569146.90070700028</v>
      </c>
    </row>
    <row r="36" spans="2:9" x14ac:dyDescent="0.2">
      <c r="B36" s="93"/>
      <c r="C36" s="7"/>
      <c r="D36" s="93"/>
      <c r="E36" s="93"/>
      <c r="F36" s="133"/>
      <c r="H36" s="91"/>
      <c r="I36" s="91"/>
    </row>
    <row r="37" spans="2:9" x14ac:dyDescent="0.2">
      <c r="B37" s="93"/>
      <c r="C37" s="7"/>
      <c r="D37" s="93"/>
      <c r="E37" s="93"/>
      <c r="F37" s="133"/>
      <c r="H37" s="91"/>
      <c r="I37" s="91"/>
    </row>
    <row r="38" spans="2:9" x14ac:dyDescent="0.2">
      <c r="B38" s="93">
        <v>110</v>
      </c>
      <c r="C38" s="13">
        <v>3200</v>
      </c>
      <c r="D38" s="93" t="s">
        <v>56</v>
      </c>
      <c r="E38" s="93" t="s">
        <v>58</v>
      </c>
      <c r="F38" s="133">
        <f>'2_Despesa econòmica'!F35</f>
        <v>0</v>
      </c>
      <c r="H38" s="91"/>
      <c r="I38" s="91"/>
    </row>
    <row r="39" spans="2:9" x14ac:dyDescent="0.2">
      <c r="B39" s="93"/>
      <c r="C39" s="13"/>
      <c r="D39" s="93"/>
      <c r="E39" s="93"/>
      <c r="F39" s="133"/>
      <c r="H39" s="91"/>
      <c r="I39" s="91"/>
    </row>
    <row r="40" spans="2:9" x14ac:dyDescent="0.2">
      <c r="B40" s="93">
        <v>130</v>
      </c>
      <c r="C40" s="13">
        <f>SUM('2_Despesa econòmica'!C39)</f>
        <v>3200</v>
      </c>
      <c r="D40" s="93" t="s">
        <v>57</v>
      </c>
      <c r="E40" s="93" t="s">
        <v>58</v>
      </c>
      <c r="F40" s="133">
        <f>'2_Despesa econòmica'!F39</f>
        <v>161872.02039999998</v>
      </c>
      <c r="H40" s="91"/>
      <c r="I40" s="91"/>
    </row>
    <row r="41" spans="2:9" s="14" customFormat="1" x14ac:dyDescent="0.2">
      <c r="B41" s="93">
        <v>131</v>
      </c>
      <c r="C41" s="13">
        <f>SUM('2_Despesa econòmica'!C42)</f>
        <v>3200</v>
      </c>
      <c r="D41" s="93" t="s">
        <v>61</v>
      </c>
      <c r="E41" s="93" t="s">
        <v>58</v>
      </c>
      <c r="F41" s="133">
        <f>'2_Despesa econòmica'!F42</f>
        <v>54993.85</v>
      </c>
      <c r="G41" s="77"/>
      <c r="H41" s="91"/>
      <c r="I41" s="91"/>
    </row>
    <row r="42" spans="2:9" x14ac:dyDescent="0.2">
      <c r="B42" s="93">
        <v>151</v>
      </c>
      <c r="C42" s="13">
        <f>SUM('2_Despesa econòmica'!C48)</f>
        <v>3200</v>
      </c>
      <c r="D42" s="93" t="s">
        <v>63</v>
      </c>
      <c r="E42" s="93" t="s">
        <v>58</v>
      </c>
      <c r="F42" s="133">
        <f>'2_Despesa econòmica'!F48</f>
        <v>1</v>
      </c>
      <c r="H42" s="91"/>
      <c r="I42" s="91"/>
    </row>
    <row r="43" spans="2:9" x14ac:dyDescent="0.2">
      <c r="B43" s="7">
        <f>SUM('2_Despesa econòmica'!B55)</f>
        <v>162</v>
      </c>
      <c r="C43" s="13">
        <f>SUM('2_Despesa econòmica'!C55)</f>
        <v>3200</v>
      </c>
      <c r="D43" s="93" t="s">
        <v>67</v>
      </c>
      <c r="E43" s="93" t="s">
        <v>58</v>
      </c>
      <c r="F43" s="133">
        <f>'2_Despesa econòmica'!F55</f>
        <v>23647</v>
      </c>
      <c r="H43" s="91"/>
      <c r="I43" s="91"/>
    </row>
    <row r="44" spans="2:9" x14ac:dyDescent="0.2">
      <c r="B44" s="93"/>
      <c r="C44" s="13"/>
      <c r="D44" s="93"/>
      <c r="E44" s="93"/>
      <c r="F44" s="133"/>
      <c r="H44" s="91"/>
      <c r="I44" s="91"/>
    </row>
    <row r="45" spans="2:9" s="15" customFormat="1" x14ac:dyDescent="0.2">
      <c r="B45" s="93">
        <v>203</v>
      </c>
      <c r="C45" s="13">
        <f>SUM('2_Despesa econòmica'!C64)</f>
        <v>3200</v>
      </c>
      <c r="D45" s="93" t="s">
        <v>99</v>
      </c>
      <c r="E45" s="93" t="s">
        <v>58</v>
      </c>
      <c r="F45" s="133">
        <f>'2_Despesa econòmica'!F64</f>
        <v>5</v>
      </c>
      <c r="G45" s="77"/>
      <c r="H45" s="91"/>
      <c r="I45" s="91"/>
    </row>
    <row r="46" spans="2:9" x14ac:dyDescent="0.2">
      <c r="B46" s="93">
        <v>220</v>
      </c>
      <c r="C46" s="13">
        <f>SUM('2_Despesa econòmica'!C80)</f>
        <v>3200</v>
      </c>
      <c r="D46" s="93" t="s">
        <v>78</v>
      </c>
      <c r="E46" s="93" t="s">
        <v>58</v>
      </c>
      <c r="F46" s="133">
        <f>'2_Despesa econòmica'!F80</f>
        <v>1500</v>
      </c>
      <c r="H46" s="91"/>
      <c r="I46" s="91"/>
    </row>
    <row r="47" spans="2:9" x14ac:dyDescent="0.2">
      <c r="B47" s="93">
        <v>221</v>
      </c>
      <c r="C47" s="13">
        <f>SUM('2_Despesa econòmica'!C83)</f>
        <v>3200</v>
      </c>
      <c r="D47" s="93" t="s">
        <v>79</v>
      </c>
      <c r="E47" s="93" t="s">
        <v>58</v>
      </c>
      <c r="F47" s="133">
        <f>'2_Despesa econòmica'!F83</f>
        <v>26</v>
      </c>
      <c r="H47" s="91"/>
      <c r="I47" s="91"/>
    </row>
    <row r="48" spans="2:9" x14ac:dyDescent="0.2">
      <c r="B48" s="93">
        <v>222</v>
      </c>
      <c r="C48" s="13">
        <f>SUM('2_Despesa econòmica'!C89)</f>
        <v>3200</v>
      </c>
      <c r="D48" s="93" t="s">
        <v>80</v>
      </c>
      <c r="E48" s="93" t="s">
        <v>58</v>
      </c>
      <c r="F48" s="133">
        <f>'2_Despesa econòmica'!F89</f>
        <v>1000</v>
      </c>
      <c r="H48" s="91"/>
      <c r="I48" s="91"/>
    </row>
    <row r="49" spans="2:9" x14ac:dyDescent="0.2">
      <c r="B49" s="93">
        <v>226</v>
      </c>
      <c r="C49" s="13">
        <f>SUM('2_Despesa econòmica'!C95)</f>
        <v>3200</v>
      </c>
      <c r="D49" s="93" t="s">
        <v>83</v>
      </c>
      <c r="E49" s="93" t="s">
        <v>58</v>
      </c>
      <c r="F49" s="133">
        <f>'2_Despesa econòmica'!F95</f>
        <v>1000</v>
      </c>
      <c r="H49" s="91"/>
      <c r="I49" s="91"/>
    </row>
    <row r="50" spans="2:9" x14ac:dyDescent="0.2">
      <c r="B50" s="93">
        <v>227</v>
      </c>
      <c r="C50" s="13">
        <f>SUM('2_Despesa econòmica'!C99)</f>
        <v>3200</v>
      </c>
      <c r="D50" s="93" t="s">
        <v>84</v>
      </c>
      <c r="E50" s="93" t="s">
        <v>58</v>
      </c>
      <c r="F50" s="133">
        <f>'2_Despesa econòmica'!F99</f>
        <v>105676.65</v>
      </c>
      <c r="H50" s="91"/>
      <c r="I50" s="91"/>
    </row>
    <row r="51" spans="2:9" x14ac:dyDescent="0.2">
      <c r="B51" s="93">
        <v>230</v>
      </c>
      <c r="C51" s="13">
        <f>SUM('2_Despesa econòmica'!C105)</f>
        <v>3200</v>
      </c>
      <c r="D51" s="93" t="s">
        <v>86</v>
      </c>
      <c r="E51" s="93" t="s">
        <v>58</v>
      </c>
      <c r="F51" s="133">
        <f>'2_Despesa econòmica'!F105</f>
        <v>150</v>
      </c>
      <c r="H51" s="91"/>
      <c r="I51" s="91"/>
    </row>
    <row r="52" spans="2:9" x14ac:dyDescent="0.2">
      <c r="B52" s="93"/>
      <c r="C52" s="13"/>
      <c r="D52" s="93"/>
      <c r="E52" s="93"/>
      <c r="F52" s="133"/>
      <c r="H52" s="91"/>
      <c r="I52" s="91"/>
    </row>
    <row r="53" spans="2:9" x14ac:dyDescent="0.2">
      <c r="B53" s="93">
        <f>SUM('2_Despesa econòmica'!B115)</f>
        <v>358</v>
      </c>
      <c r="C53" s="13">
        <v>3200</v>
      </c>
      <c r="D53" s="93" t="s">
        <v>206</v>
      </c>
      <c r="E53" s="93" t="s">
        <v>58</v>
      </c>
      <c r="F53" s="161">
        <f>SUM('2_Despesa econòmica'!F115)</f>
        <v>31.5</v>
      </c>
      <c r="H53" s="91"/>
      <c r="I53" s="91"/>
    </row>
    <row r="54" spans="2:9" x14ac:dyDescent="0.2">
      <c r="B54" s="93"/>
      <c r="C54" s="13"/>
      <c r="D54" s="93"/>
      <c r="E54" s="93"/>
      <c r="F54" s="161"/>
      <c r="H54" s="91"/>
      <c r="I54" s="91"/>
    </row>
    <row r="55" spans="2:9" x14ac:dyDescent="0.2">
      <c r="B55" s="93">
        <v>489</v>
      </c>
      <c r="C55" s="13">
        <f>SUM('2_Despesa econòmica'!C126)</f>
        <v>3200</v>
      </c>
      <c r="D55" s="93" t="s">
        <v>92</v>
      </c>
      <c r="E55" s="93" t="s">
        <v>58</v>
      </c>
      <c r="F55" s="133">
        <f>'2_Despesa econòmica'!F126</f>
        <v>42400</v>
      </c>
      <c r="H55" s="91"/>
      <c r="I55" s="91"/>
    </row>
    <row r="56" spans="2:9" x14ac:dyDescent="0.2">
      <c r="B56" s="93" t="s">
        <v>227</v>
      </c>
      <c r="C56" s="13">
        <v>3200</v>
      </c>
      <c r="D56" s="93" t="s">
        <v>228</v>
      </c>
      <c r="E56" s="93" t="s">
        <v>229</v>
      </c>
      <c r="F56" s="133">
        <f>'2_Despesa econòmica'!F127</f>
        <v>0</v>
      </c>
      <c r="H56" s="91"/>
      <c r="I56" s="91"/>
    </row>
    <row r="57" spans="2:9" x14ac:dyDescent="0.2">
      <c r="B57" s="131" t="s">
        <v>242</v>
      </c>
      <c r="C57" s="127">
        <v>3200</v>
      </c>
      <c r="D57" s="117" t="s">
        <v>243</v>
      </c>
      <c r="E57" s="117" t="s">
        <v>58</v>
      </c>
      <c r="F57" s="133">
        <f>'2_Despesa econòmica'!F128</f>
        <v>10000</v>
      </c>
      <c r="H57" s="91"/>
      <c r="I57" s="91"/>
    </row>
    <row r="58" spans="2:9" x14ac:dyDescent="0.2">
      <c r="B58" s="131"/>
      <c r="C58" s="127"/>
      <c r="D58" s="117"/>
      <c r="E58" s="117"/>
      <c r="F58" s="133"/>
      <c r="H58" s="91"/>
      <c r="I58" s="91"/>
    </row>
    <row r="59" spans="2:9" x14ac:dyDescent="0.2">
      <c r="B59" s="93">
        <v>629</v>
      </c>
      <c r="C59" s="13">
        <v>3200</v>
      </c>
      <c r="D59" s="93" t="s">
        <v>95</v>
      </c>
      <c r="E59" s="117" t="s">
        <v>58</v>
      </c>
      <c r="F59" s="133">
        <f>'2_Despesa econòmica'!F137</f>
        <v>5516</v>
      </c>
      <c r="H59" s="91"/>
      <c r="I59" s="91"/>
    </row>
    <row r="60" spans="2:9" s="11" customFormat="1" x14ac:dyDescent="0.2">
      <c r="B60" s="94"/>
      <c r="C60" s="130"/>
      <c r="D60" s="21" t="s">
        <v>217</v>
      </c>
      <c r="E60" s="21"/>
      <c r="F60" s="161"/>
      <c r="G60" s="84">
        <f>SUM(F38:F59)</f>
        <v>407819.02039999998</v>
      </c>
      <c r="H60" s="92"/>
      <c r="I60" s="92"/>
    </row>
    <row r="61" spans="2:9" x14ac:dyDescent="0.2">
      <c r="B61" s="93"/>
      <c r="C61" s="13"/>
      <c r="D61" s="93"/>
      <c r="E61" s="93"/>
      <c r="F61" s="133"/>
      <c r="H61" s="91"/>
      <c r="I61" s="91"/>
    </row>
    <row r="62" spans="2:9" x14ac:dyDescent="0.2">
      <c r="B62" s="93">
        <v>130</v>
      </c>
      <c r="C62" s="13">
        <f>SUM('2_Despesa econòmica'!C40)</f>
        <v>3230</v>
      </c>
      <c r="D62" s="93" t="s">
        <v>57</v>
      </c>
      <c r="E62" s="93" t="s">
        <v>59</v>
      </c>
      <c r="F62" s="133">
        <f>'2_Despesa econòmica'!F40</f>
        <v>1017986.1640000003</v>
      </c>
      <c r="H62" s="91"/>
      <c r="I62" s="91"/>
    </row>
    <row r="63" spans="2:9" x14ac:dyDescent="0.2">
      <c r="B63" s="93">
        <v>131</v>
      </c>
      <c r="C63" s="13">
        <f>SUM('2_Despesa econòmica'!C43)</f>
        <v>3230</v>
      </c>
      <c r="D63" s="93" t="s">
        <v>61</v>
      </c>
      <c r="E63" s="93" t="s">
        <v>59</v>
      </c>
      <c r="F63" s="133">
        <f>'2_Despesa econòmica'!F43</f>
        <v>78767.83</v>
      </c>
      <c r="H63" s="91"/>
      <c r="I63" s="91"/>
    </row>
    <row r="64" spans="2:9" x14ac:dyDescent="0.2">
      <c r="B64" s="93">
        <v>151</v>
      </c>
      <c r="C64" s="13">
        <f>SUM('2_Despesa econòmica'!C49)</f>
        <v>3230</v>
      </c>
      <c r="D64" s="93" t="s">
        <v>63</v>
      </c>
      <c r="E64" s="93" t="s">
        <v>59</v>
      </c>
      <c r="F64" s="133">
        <f>'2_Despesa econòmica'!F49</f>
        <v>1</v>
      </c>
      <c r="H64" s="91"/>
      <c r="I64" s="91"/>
    </row>
    <row r="65" spans="2:9" x14ac:dyDescent="0.2">
      <c r="B65" s="7">
        <v>162</v>
      </c>
      <c r="C65" s="13">
        <f>SUM('2_Despesa econòmica'!C56)</f>
        <v>3230</v>
      </c>
      <c r="D65" s="93" t="s">
        <v>67</v>
      </c>
      <c r="E65" s="93" t="s">
        <v>59</v>
      </c>
      <c r="F65" s="133">
        <f>'2_Despesa econòmica'!F56</f>
        <v>1100</v>
      </c>
      <c r="H65" s="91"/>
      <c r="I65" s="91"/>
    </row>
    <row r="66" spans="2:9" x14ac:dyDescent="0.2">
      <c r="B66" s="93"/>
      <c r="C66" s="13"/>
      <c r="D66" s="93"/>
      <c r="E66" s="93"/>
      <c r="F66" s="133"/>
      <c r="H66" s="91"/>
      <c r="I66" s="91"/>
    </row>
    <row r="67" spans="2:9" x14ac:dyDescent="0.2">
      <c r="B67" s="93">
        <v>203</v>
      </c>
      <c r="C67" s="13">
        <f>SUM('2_Despesa econòmica'!C65)</f>
        <v>3230</v>
      </c>
      <c r="D67" s="93" t="s">
        <v>71</v>
      </c>
      <c r="E67" s="93" t="s">
        <v>59</v>
      </c>
      <c r="F67" s="133">
        <f>'2_Despesa econòmica'!F65</f>
        <v>2736.4900000000002</v>
      </c>
      <c r="H67" s="91"/>
      <c r="I67" s="91"/>
    </row>
    <row r="68" spans="2:9" x14ac:dyDescent="0.2">
      <c r="B68" s="145">
        <v>206</v>
      </c>
      <c r="C68" s="157">
        <v>3230</v>
      </c>
      <c r="D68" s="145" t="s">
        <v>239</v>
      </c>
      <c r="E68" s="143" t="s">
        <v>59</v>
      </c>
      <c r="F68" s="146">
        <f>'2_Despesa econòmica'!F67</f>
        <v>1</v>
      </c>
      <c r="G68" s="146"/>
      <c r="H68" s="1"/>
      <c r="I68" s="1"/>
    </row>
    <row r="69" spans="2:9" x14ac:dyDescent="0.2">
      <c r="B69" s="93">
        <v>212</v>
      </c>
      <c r="C69" s="13">
        <f>SUM('2_Despesa econòmica'!C72)</f>
        <v>3230</v>
      </c>
      <c r="D69" s="93" t="s">
        <v>73</v>
      </c>
      <c r="E69" s="93" t="s">
        <v>59</v>
      </c>
      <c r="F69" s="133">
        <f>'2_Despesa econòmica'!F72</f>
        <v>1</v>
      </c>
      <c r="H69" s="91"/>
      <c r="I69" s="91"/>
    </row>
    <row r="70" spans="2:9" x14ac:dyDescent="0.2">
      <c r="B70" s="93">
        <v>213</v>
      </c>
      <c r="C70" s="13">
        <f>SUM('2_Despesa econòmica'!C73)</f>
        <v>3230</v>
      </c>
      <c r="D70" s="93" t="s">
        <v>74</v>
      </c>
      <c r="E70" s="93" t="s">
        <v>59</v>
      </c>
      <c r="F70" s="133">
        <f>'2_Despesa econòmica'!F73</f>
        <v>300</v>
      </c>
      <c r="H70" s="91"/>
      <c r="I70" s="91"/>
    </row>
    <row r="71" spans="2:9" x14ac:dyDescent="0.2">
      <c r="B71" s="93">
        <v>216</v>
      </c>
      <c r="C71" s="13">
        <f>SUM('2_Despesa econòmica'!C74)</f>
        <v>3230</v>
      </c>
      <c r="D71" s="93" t="s">
        <v>75</v>
      </c>
      <c r="E71" s="93" t="s">
        <v>59</v>
      </c>
      <c r="F71" s="133">
        <f>'2_Despesa econòmica'!F74</f>
        <v>1</v>
      </c>
      <c r="H71" s="91"/>
      <c r="I71" s="91"/>
    </row>
    <row r="72" spans="2:9" x14ac:dyDescent="0.2">
      <c r="B72" s="93">
        <v>220</v>
      </c>
      <c r="C72" s="13">
        <f>SUM('2_Despesa econòmica'!C81)</f>
        <v>3230</v>
      </c>
      <c r="D72" s="93" t="s">
        <v>78</v>
      </c>
      <c r="E72" s="93" t="s">
        <v>59</v>
      </c>
      <c r="F72" s="133">
        <f>'2_Despesa econòmica'!F81</f>
        <v>4000</v>
      </c>
      <c r="H72" s="91"/>
      <c r="I72" s="91"/>
    </row>
    <row r="73" spans="2:9" x14ac:dyDescent="0.2">
      <c r="B73" s="93">
        <v>221</v>
      </c>
      <c r="C73" s="13">
        <f>SUM('2_Despesa econòmica'!C84)</f>
        <v>3230</v>
      </c>
      <c r="D73" s="93" t="s">
        <v>100</v>
      </c>
      <c r="E73" s="93" t="s">
        <v>59</v>
      </c>
      <c r="F73" s="133">
        <f>'2_Despesa econòmica'!F84</f>
        <v>2000</v>
      </c>
      <c r="H73" s="91"/>
      <c r="I73" s="91"/>
    </row>
    <row r="74" spans="2:9" x14ac:dyDescent="0.2">
      <c r="B74" s="93">
        <v>222</v>
      </c>
      <c r="C74" s="13">
        <f>SUM('2_Despesa econòmica'!C90)</f>
        <v>3230</v>
      </c>
      <c r="D74" s="93" t="s">
        <v>80</v>
      </c>
      <c r="E74" s="93" t="s">
        <v>59</v>
      </c>
      <c r="F74" s="133">
        <f>'2_Despesa econòmica'!F90</f>
        <v>1</v>
      </c>
      <c r="H74" s="91"/>
      <c r="I74" s="91"/>
    </row>
    <row r="75" spans="2:9" x14ac:dyDescent="0.2">
      <c r="B75" s="93">
        <v>224</v>
      </c>
      <c r="C75" s="13">
        <f>SUM('2_Despesa econòmica'!C93)</f>
        <v>3230</v>
      </c>
      <c r="D75" s="93" t="s">
        <v>82</v>
      </c>
      <c r="E75" s="93" t="s">
        <v>59</v>
      </c>
      <c r="F75" s="133">
        <f>'2_Despesa econòmica'!F93</f>
        <v>1</v>
      </c>
      <c r="H75" s="91"/>
      <c r="I75" s="91"/>
    </row>
    <row r="76" spans="2:9" x14ac:dyDescent="0.2">
      <c r="B76" s="93">
        <v>226</v>
      </c>
      <c r="C76" s="13">
        <f>SUM('2_Despesa econòmica'!C96)</f>
        <v>3230</v>
      </c>
      <c r="D76" s="93" t="s">
        <v>83</v>
      </c>
      <c r="E76" s="93" t="s">
        <v>59</v>
      </c>
      <c r="F76" s="133">
        <f>'2_Despesa econòmica'!F96</f>
        <v>7724</v>
      </c>
      <c r="H76" s="91"/>
      <c r="I76" s="91"/>
    </row>
    <row r="77" spans="2:9" x14ac:dyDescent="0.2">
      <c r="B77" s="93">
        <v>227</v>
      </c>
      <c r="C77" s="13">
        <f>SUM('2_Despesa econòmica'!C100)</f>
        <v>3230</v>
      </c>
      <c r="D77" s="93" t="s">
        <v>84</v>
      </c>
      <c r="E77" s="93" t="s">
        <v>59</v>
      </c>
      <c r="F77" s="133">
        <f>'2_Despesa econòmica'!F100</f>
        <v>152492.94</v>
      </c>
      <c r="H77" s="91"/>
      <c r="I77" s="91"/>
    </row>
    <row r="78" spans="2:9" x14ac:dyDescent="0.2">
      <c r="B78" s="93">
        <v>230</v>
      </c>
      <c r="C78" s="13">
        <f>SUM('2_Despesa econòmica'!C106)</f>
        <v>3230</v>
      </c>
      <c r="D78" s="93" t="s">
        <v>86</v>
      </c>
      <c r="E78" s="93" t="s">
        <v>59</v>
      </c>
      <c r="F78" s="133">
        <f>'2_Despesa econòmica'!F106</f>
        <v>150</v>
      </c>
      <c r="H78" s="91"/>
      <c r="I78" s="91"/>
    </row>
    <row r="79" spans="2:9" x14ac:dyDescent="0.2">
      <c r="B79" s="93"/>
      <c r="C79" s="13"/>
      <c r="D79" s="93"/>
      <c r="E79" s="93"/>
      <c r="F79" s="133"/>
      <c r="H79" s="91"/>
      <c r="I79" s="91"/>
    </row>
    <row r="80" spans="2:9" x14ac:dyDescent="0.2">
      <c r="B80" s="10">
        <f>SUM('2_Despesa econòmica'!B116)</f>
        <v>358</v>
      </c>
      <c r="C80" s="13">
        <f>SUM('2_Despesa econòmica'!C116)</f>
        <v>3230</v>
      </c>
      <c r="D80" s="93" t="s">
        <v>206</v>
      </c>
      <c r="E80" s="93" t="s">
        <v>59</v>
      </c>
      <c r="F80" s="161">
        <f>SUM('2_Despesa econòmica'!F116)</f>
        <v>41</v>
      </c>
      <c r="H80" s="91"/>
      <c r="I80" s="91"/>
    </row>
    <row r="81" spans="2:9" x14ac:dyDescent="0.2">
      <c r="B81" s="93"/>
      <c r="C81" s="13"/>
      <c r="D81" s="93"/>
      <c r="E81" s="93"/>
      <c r="F81" s="133"/>
      <c r="H81" s="91"/>
      <c r="I81" s="91"/>
    </row>
    <row r="82" spans="2:9" x14ac:dyDescent="0.2">
      <c r="B82" s="93">
        <v>629</v>
      </c>
      <c r="C82" s="13">
        <f>SUM('2_Despesa econòmica'!C135)</f>
        <v>3230</v>
      </c>
      <c r="D82" s="7" t="s">
        <v>95</v>
      </c>
      <c r="E82" s="93" t="s">
        <v>59</v>
      </c>
      <c r="F82" s="133">
        <f>'2_Despesa econòmica'!F135</f>
        <v>16000</v>
      </c>
      <c r="H82" s="91"/>
      <c r="I82" s="91"/>
    </row>
    <row r="83" spans="2:9" x14ac:dyDescent="0.2">
      <c r="B83" s="93"/>
      <c r="C83" s="97"/>
      <c r="D83" s="93"/>
      <c r="E83" s="93"/>
      <c r="F83" s="133"/>
      <c r="H83" s="91"/>
      <c r="I83" s="91"/>
    </row>
    <row r="84" spans="2:9" x14ac:dyDescent="0.2">
      <c r="B84" s="93"/>
      <c r="C84" s="97"/>
      <c r="D84" s="4" t="s">
        <v>253</v>
      </c>
      <c r="E84" s="93"/>
      <c r="F84" s="133"/>
      <c r="G84" s="77">
        <f>SUM(F62:F82)</f>
        <v>1283304.4240000003</v>
      </c>
      <c r="H84" s="91"/>
      <c r="I84" s="91"/>
    </row>
    <row r="85" spans="2:9" x14ac:dyDescent="0.2">
      <c r="B85" s="93"/>
      <c r="C85" s="97"/>
      <c r="D85" s="93"/>
      <c r="E85" s="93"/>
      <c r="F85" s="133"/>
      <c r="H85" s="91"/>
      <c r="I85" s="91"/>
    </row>
    <row r="86" spans="2:9" x14ac:dyDescent="0.2">
      <c r="B86" s="93">
        <v>130</v>
      </c>
      <c r="C86" s="13">
        <f>SUM('2_Despesa econòmica'!C41)</f>
        <v>3231</v>
      </c>
      <c r="D86" s="93" t="s">
        <v>57</v>
      </c>
      <c r="E86" s="93" t="s">
        <v>60</v>
      </c>
      <c r="F86" s="133">
        <f>'2_Despesa econòmica'!F41</f>
        <v>391372.71350000001</v>
      </c>
      <c r="H86" s="91"/>
      <c r="I86" s="91"/>
    </row>
    <row r="87" spans="2:9" x14ac:dyDescent="0.2">
      <c r="B87" s="93">
        <v>131</v>
      </c>
      <c r="C87" s="13">
        <f>SUM('2_Despesa econòmica'!C44)</f>
        <v>3231</v>
      </c>
      <c r="D87" s="93" t="s">
        <v>61</v>
      </c>
      <c r="E87" s="93" t="s">
        <v>60</v>
      </c>
      <c r="F87" s="133">
        <f>'2_Despesa econòmica'!F44</f>
        <v>19695</v>
      </c>
      <c r="H87" s="91"/>
      <c r="I87" s="91"/>
    </row>
    <row r="88" spans="2:9" x14ac:dyDescent="0.2">
      <c r="B88" s="93">
        <v>151</v>
      </c>
      <c r="C88" s="13">
        <f>SUM('2_Despesa econòmica'!C50)</f>
        <v>3231</v>
      </c>
      <c r="D88" s="93" t="s">
        <v>63</v>
      </c>
      <c r="E88" s="93" t="s">
        <v>60</v>
      </c>
      <c r="F88" s="133">
        <f>'2_Despesa econòmica'!F50</f>
        <v>801</v>
      </c>
      <c r="H88" s="8"/>
      <c r="I88" s="91"/>
    </row>
    <row r="89" spans="2:9" x14ac:dyDescent="0.2">
      <c r="B89" s="7">
        <f>SUM('2_Despesa econòmica'!B57)</f>
        <v>162</v>
      </c>
      <c r="C89" s="13">
        <f>SUM('2_Despesa econòmica'!C57)</f>
        <v>3231</v>
      </c>
      <c r="D89" s="93" t="s">
        <v>67</v>
      </c>
      <c r="E89" s="93" t="s">
        <v>60</v>
      </c>
      <c r="F89" s="133">
        <f>'2_Despesa econòmica'!F57</f>
        <v>0</v>
      </c>
      <c r="H89" s="91"/>
      <c r="I89" s="91"/>
    </row>
    <row r="90" spans="2:9" x14ac:dyDescent="0.2">
      <c r="B90" s="4"/>
      <c r="C90" s="83"/>
      <c r="D90" s="93"/>
      <c r="E90" s="93"/>
      <c r="F90" s="133"/>
      <c r="H90" s="91"/>
      <c r="I90" s="91"/>
    </row>
    <row r="91" spans="2:9" x14ac:dyDescent="0.2">
      <c r="B91" s="115">
        <v>203</v>
      </c>
      <c r="C91" s="127">
        <v>3231</v>
      </c>
      <c r="D91" s="116" t="s">
        <v>70</v>
      </c>
      <c r="E91" s="116" t="s">
        <v>60</v>
      </c>
      <c r="F91" s="146">
        <f>'2_Despesa econòmica'!F66</f>
        <v>544.27200000000005</v>
      </c>
      <c r="H91" s="91"/>
      <c r="I91" s="91"/>
    </row>
    <row r="92" spans="2:9" x14ac:dyDescent="0.2">
      <c r="B92" s="117">
        <v>206</v>
      </c>
      <c r="C92" s="128">
        <v>3231</v>
      </c>
      <c r="D92" s="117" t="s">
        <v>239</v>
      </c>
      <c r="E92" s="116" t="s">
        <v>60</v>
      </c>
      <c r="F92" s="146">
        <f>'2_Despesa econòmica'!F68</f>
        <v>1</v>
      </c>
      <c r="H92" s="91"/>
      <c r="I92" s="91"/>
    </row>
    <row r="93" spans="2:9" x14ac:dyDescent="0.2">
      <c r="B93" s="93">
        <v>216</v>
      </c>
      <c r="C93" s="13">
        <f>SUM('2_Despesa econòmica'!C75)</f>
        <v>3231</v>
      </c>
      <c r="D93" s="93" t="s">
        <v>75</v>
      </c>
      <c r="E93" s="93" t="s">
        <v>60</v>
      </c>
      <c r="F93" s="133">
        <f>'2_Despesa econòmica'!F75</f>
        <v>1</v>
      </c>
      <c r="H93" s="91"/>
      <c r="I93" s="91"/>
    </row>
    <row r="94" spans="2:9" x14ac:dyDescent="0.2">
      <c r="B94" s="93">
        <v>219</v>
      </c>
      <c r="C94" s="13">
        <f>SUM('2_Despesa econòmica'!C76)</f>
        <v>3231</v>
      </c>
      <c r="D94" s="93" t="s">
        <v>76</v>
      </c>
      <c r="E94" s="93" t="s">
        <v>60</v>
      </c>
      <c r="F94" s="133">
        <f>'2_Despesa econòmica'!F76</f>
        <v>700</v>
      </c>
      <c r="H94" s="91"/>
      <c r="I94" s="91"/>
    </row>
    <row r="95" spans="2:9" x14ac:dyDescent="0.2">
      <c r="B95" s="93">
        <v>220</v>
      </c>
      <c r="C95" s="13">
        <f>SUM('2_Despesa econòmica'!C82)</f>
        <v>3231</v>
      </c>
      <c r="D95" s="93" t="s">
        <v>78</v>
      </c>
      <c r="E95" s="93" t="s">
        <v>60</v>
      </c>
      <c r="F95" s="133">
        <f>'2_Despesa econòmica'!F82</f>
        <v>2500</v>
      </c>
      <c r="H95" s="91"/>
      <c r="I95" s="91"/>
    </row>
    <row r="96" spans="2:9" x14ac:dyDescent="0.2">
      <c r="B96" s="93">
        <v>221</v>
      </c>
      <c r="C96" s="13">
        <f>SUM('2_Despesa econòmica'!C85)</f>
        <v>3231</v>
      </c>
      <c r="D96" s="93" t="s">
        <v>100</v>
      </c>
      <c r="E96" s="93" t="s">
        <v>60</v>
      </c>
      <c r="F96" s="133">
        <f>'2_Despesa econòmica'!F85</f>
        <v>500</v>
      </c>
      <c r="H96" s="91"/>
      <c r="I96" s="91"/>
    </row>
    <row r="97" spans="2:9" x14ac:dyDescent="0.2">
      <c r="B97" s="93">
        <v>222</v>
      </c>
      <c r="C97" s="13">
        <f>SUM('2_Despesa econòmica'!C91)</f>
        <v>3231</v>
      </c>
      <c r="D97" s="93" t="s">
        <v>80</v>
      </c>
      <c r="E97" s="93" t="s">
        <v>60</v>
      </c>
      <c r="F97" s="133">
        <f>'2_Despesa econòmica'!F91</f>
        <v>1</v>
      </c>
      <c r="H97" s="91"/>
      <c r="I97" s="91"/>
    </row>
    <row r="98" spans="2:9" x14ac:dyDescent="0.2">
      <c r="B98" s="93">
        <v>223</v>
      </c>
      <c r="C98" s="13">
        <f>SUM('2_Despesa econòmica'!C92)</f>
        <v>3231</v>
      </c>
      <c r="D98" s="93" t="s">
        <v>81</v>
      </c>
      <c r="E98" s="93" t="s">
        <v>60</v>
      </c>
      <c r="F98" s="133">
        <f>'2_Despesa econòmica'!F92</f>
        <v>300</v>
      </c>
      <c r="H98" s="91"/>
      <c r="I98" s="91"/>
    </row>
    <row r="99" spans="2:9" x14ac:dyDescent="0.2">
      <c r="B99" s="93">
        <v>224</v>
      </c>
      <c r="C99" s="13">
        <f>SUM('2_Despesa econòmica'!C94)</f>
        <v>3231</v>
      </c>
      <c r="D99" s="93" t="s">
        <v>82</v>
      </c>
      <c r="E99" s="93" t="s">
        <v>60</v>
      </c>
      <c r="F99" s="133">
        <f>'2_Despesa econòmica'!F94</f>
        <v>1</v>
      </c>
      <c r="H99" s="91"/>
      <c r="I99" s="91"/>
    </row>
    <row r="100" spans="2:9" x14ac:dyDescent="0.2">
      <c r="B100" s="93">
        <v>226</v>
      </c>
      <c r="C100" s="13">
        <f>SUM('2_Despesa econòmica'!C97)</f>
        <v>3231</v>
      </c>
      <c r="D100" s="93" t="s">
        <v>83</v>
      </c>
      <c r="E100" s="93" t="s">
        <v>60</v>
      </c>
      <c r="F100" s="133">
        <f>'2_Despesa econòmica'!F97</f>
        <v>2500</v>
      </c>
      <c r="H100" s="91"/>
      <c r="I100" s="91"/>
    </row>
    <row r="101" spans="2:9" x14ac:dyDescent="0.2">
      <c r="B101" s="93"/>
      <c r="C101" s="83"/>
      <c r="D101" s="93"/>
      <c r="E101" s="93"/>
      <c r="F101" s="133"/>
      <c r="H101" s="91"/>
      <c r="I101" s="91"/>
    </row>
    <row r="102" spans="2:9" ht="15.75" customHeight="1" x14ac:dyDescent="0.2">
      <c r="B102" s="95" t="s">
        <v>19</v>
      </c>
      <c r="C102" s="95" t="s">
        <v>19</v>
      </c>
      <c r="D102" s="236" t="s">
        <v>20</v>
      </c>
      <c r="E102" s="237" t="s">
        <v>197</v>
      </c>
      <c r="F102" s="159" t="s">
        <v>21</v>
      </c>
      <c r="G102" s="239" t="s">
        <v>3</v>
      </c>
      <c r="H102" s="239"/>
      <c r="I102" s="239"/>
    </row>
    <row r="103" spans="2:9" x14ac:dyDescent="0.2">
      <c r="B103" s="96" t="s">
        <v>52</v>
      </c>
      <c r="C103" s="96" t="s">
        <v>196</v>
      </c>
      <c r="D103" s="236"/>
      <c r="E103" s="238" t="s">
        <v>51</v>
      </c>
      <c r="F103" s="160" t="s">
        <v>54</v>
      </c>
      <c r="G103" s="90" t="s">
        <v>211</v>
      </c>
      <c r="H103" s="90" t="s">
        <v>212</v>
      </c>
      <c r="I103" s="90" t="s">
        <v>213</v>
      </c>
    </row>
    <row r="104" spans="2:9" x14ac:dyDescent="0.2">
      <c r="B104" s="93"/>
      <c r="C104" s="83"/>
      <c r="D104" s="93"/>
      <c r="E104" s="93"/>
      <c r="F104" s="133"/>
      <c r="H104" s="91"/>
      <c r="I104" s="91"/>
    </row>
    <row r="105" spans="2:9" x14ac:dyDescent="0.2">
      <c r="B105" s="93">
        <v>227</v>
      </c>
      <c r="C105" s="13">
        <f>SUM('2_Despesa econòmica'!C101)</f>
        <v>3231</v>
      </c>
      <c r="D105" s="93" t="s">
        <v>84</v>
      </c>
      <c r="E105" s="93" t="s">
        <v>60</v>
      </c>
      <c r="F105" s="133">
        <f>'2_Despesa econòmica'!F101</f>
        <v>3499.63</v>
      </c>
      <c r="H105" s="91"/>
      <c r="I105" s="91"/>
    </row>
    <row r="106" spans="2:9" x14ac:dyDescent="0.2">
      <c r="B106" s="93">
        <v>230</v>
      </c>
      <c r="C106" s="13">
        <f>SUM('2_Despesa econòmica'!C107)</f>
        <v>3231</v>
      </c>
      <c r="D106" s="93" t="s">
        <v>86</v>
      </c>
      <c r="E106" s="93" t="s">
        <v>60</v>
      </c>
      <c r="F106" s="133">
        <f>'2_Despesa econòmica'!F107</f>
        <v>150</v>
      </c>
      <c r="H106" s="91"/>
      <c r="I106" s="91"/>
    </row>
    <row r="107" spans="2:9" x14ac:dyDescent="0.2">
      <c r="B107" s="175">
        <v>231</v>
      </c>
      <c r="C107" s="13">
        <f>SUM('2_Despesa econòmica'!C108)</f>
        <v>3231</v>
      </c>
      <c r="D107" s="93" t="s">
        <v>87</v>
      </c>
      <c r="E107" s="93" t="s">
        <v>60</v>
      </c>
      <c r="F107" s="133">
        <f>'2_Despesa econòmica'!F108</f>
        <v>150</v>
      </c>
      <c r="H107" s="91"/>
      <c r="I107" s="91"/>
    </row>
    <row r="108" spans="2:9" x14ac:dyDescent="0.2">
      <c r="B108" s="93"/>
      <c r="C108" s="13"/>
      <c r="D108" s="93"/>
      <c r="E108" s="93"/>
      <c r="F108" s="133"/>
      <c r="H108" s="91"/>
      <c r="I108" s="91"/>
    </row>
    <row r="109" spans="2:9" x14ac:dyDescent="0.2">
      <c r="B109" s="10">
        <f>SUM('2_Despesa econòmica'!B117)</f>
        <v>358</v>
      </c>
      <c r="C109" s="13">
        <f>SUM('2_Despesa econòmica'!C117)</f>
        <v>3231</v>
      </c>
      <c r="D109" s="93" t="s">
        <v>206</v>
      </c>
      <c r="E109" s="93" t="s">
        <v>60</v>
      </c>
      <c r="F109" s="161">
        <f>SUM('2_Despesa econòmica'!F117)</f>
        <v>32.380000000000003</v>
      </c>
      <c r="H109" s="91"/>
      <c r="I109" s="91"/>
    </row>
    <row r="110" spans="2:9" x14ac:dyDescent="0.2">
      <c r="B110" s="21"/>
      <c r="C110" s="13"/>
      <c r="D110" s="93"/>
      <c r="E110" s="93"/>
      <c r="F110" s="161"/>
      <c r="H110" s="91"/>
      <c r="I110" s="91"/>
    </row>
    <row r="111" spans="2:9" x14ac:dyDescent="0.2">
      <c r="B111" s="93">
        <v>629</v>
      </c>
      <c r="C111" s="13">
        <f>SUM('2_Despesa econòmica'!C136)</f>
        <v>3231</v>
      </c>
      <c r="D111" s="93" t="s">
        <v>95</v>
      </c>
      <c r="E111" s="93" t="s">
        <v>60</v>
      </c>
      <c r="F111" s="133">
        <f>'2_Despesa econòmica'!F136</f>
        <v>16000</v>
      </c>
      <c r="H111" s="91"/>
      <c r="I111" s="91"/>
    </row>
    <row r="112" spans="2:9" x14ac:dyDescent="0.2">
      <c r="B112" s="93"/>
      <c r="C112" s="13"/>
      <c r="D112" s="93"/>
      <c r="E112" s="93"/>
      <c r="F112" s="133"/>
      <c r="H112" s="91"/>
      <c r="I112" s="91"/>
    </row>
    <row r="113" spans="2:9" x14ac:dyDescent="0.2">
      <c r="B113" s="93"/>
      <c r="C113" s="13"/>
      <c r="D113" s="4" t="s">
        <v>252</v>
      </c>
      <c r="E113" s="93"/>
      <c r="F113" s="133"/>
      <c r="G113" s="77">
        <f>SUM(F86:F111)</f>
        <v>438748.99550000002</v>
      </c>
      <c r="H113" s="91"/>
      <c r="I113" s="91"/>
    </row>
    <row r="114" spans="2:9" ht="13.5" customHeight="1" x14ac:dyDescent="0.2">
      <c r="B114" s="93"/>
      <c r="C114" s="13"/>
      <c r="D114" s="93"/>
      <c r="E114" s="93"/>
      <c r="F114" s="133"/>
      <c r="H114" s="91"/>
      <c r="I114" s="91"/>
    </row>
    <row r="115" spans="2:9" ht="12.75" customHeight="1" x14ac:dyDescent="0.2">
      <c r="B115" s="93">
        <v>226</v>
      </c>
      <c r="C115" s="13">
        <v>3232</v>
      </c>
      <c r="D115" s="7" t="s">
        <v>83</v>
      </c>
      <c r="E115" s="7" t="s">
        <v>254</v>
      </c>
      <c r="F115" s="133">
        <f>'2_Despesa econòmica'!F98</f>
        <v>92890</v>
      </c>
      <c r="H115" s="91"/>
      <c r="I115" s="91"/>
    </row>
    <row r="116" spans="2:9" ht="13.5" customHeight="1" x14ac:dyDescent="0.2">
      <c r="B116" s="93"/>
      <c r="C116" s="13"/>
      <c r="D116" s="93"/>
      <c r="E116" s="93"/>
      <c r="F116" s="133"/>
      <c r="H116" s="91"/>
      <c r="I116" s="91"/>
    </row>
    <row r="117" spans="2:9" ht="13.5" customHeight="1" x14ac:dyDescent="0.2">
      <c r="B117" s="93"/>
      <c r="C117" s="13"/>
      <c r="D117" s="4" t="s">
        <v>255</v>
      </c>
      <c r="E117" s="93"/>
      <c r="F117" s="133"/>
      <c r="G117" s="77">
        <f>F115</f>
        <v>92890</v>
      </c>
      <c r="H117" s="91"/>
      <c r="I117" s="91"/>
    </row>
    <row r="118" spans="2:9" ht="15.75" customHeight="1" x14ac:dyDescent="0.2">
      <c r="B118" s="93"/>
      <c r="C118" s="13"/>
      <c r="D118" s="93"/>
      <c r="E118" s="93"/>
      <c r="F118" s="133"/>
      <c r="H118" s="91"/>
      <c r="I118" s="91"/>
    </row>
    <row r="119" spans="2:9" ht="15.75" customHeight="1" x14ac:dyDescent="0.2">
      <c r="B119" s="93"/>
      <c r="C119" s="13"/>
      <c r="D119" s="4" t="s">
        <v>218</v>
      </c>
      <c r="E119" s="93"/>
      <c r="F119" s="133"/>
      <c r="H119" s="77">
        <f>SUM(G38:G117)</f>
        <v>2222762.4399000006</v>
      </c>
      <c r="I119" s="91"/>
    </row>
    <row r="120" spans="2:9" ht="13.5" customHeight="1" x14ac:dyDescent="0.2">
      <c r="B120" s="93"/>
      <c r="C120" s="13"/>
      <c r="D120" s="80" t="s">
        <v>223</v>
      </c>
      <c r="E120" s="80"/>
      <c r="F120" s="134"/>
      <c r="G120" s="81"/>
      <c r="H120" s="81"/>
      <c r="I120" s="81">
        <f>SUM(H119)</f>
        <v>2222762.4399000006</v>
      </c>
    </row>
    <row r="121" spans="2:9" x14ac:dyDescent="0.2">
      <c r="B121" s="93"/>
      <c r="C121" s="13"/>
      <c r="D121" s="93"/>
      <c r="E121" s="93"/>
      <c r="F121" s="133"/>
      <c r="H121" s="91"/>
      <c r="I121" s="91"/>
    </row>
    <row r="122" spans="2:9" x14ac:dyDescent="0.2">
      <c r="B122" s="7">
        <f>SUM('2_Despesa econòmica'!B119)</f>
        <v>359</v>
      </c>
      <c r="C122" s="13">
        <f>SUM('2_Despesa econòmica'!C119)</f>
        <v>9340</v>
      </c>
      <c r="D122" s="93" t="s">
        <v>90</v>
      </c>
      <c r="E122" s="4" t="s">
        <v>208</v>
      </c>
      <c r="F122" s="133">
        <f>SUM('2_Despesa econòmica'!F119)</f>
        <v>2200</v>
      </c>
      <c r="H122" s="91"/>
      <c r="I122" s="91"/>
    </row>
    <row r="123" spans="2:9" x14ac:dyDescent="0.2">
      <c r="B123" s="4"/>
      <c r="C123" s="83"/>
      <c r="D123" s="93"/>
      <c r="E123" s="4"/>
      <c r="F123" s="133"/>
      <c r="H123" s="91"/>
      <c r="I123" s="91"/>
    </row>
    <row r="124" spans="2:9" s="4" customFormat="1" x14ac:dyDescent="0.2">
      <c r="C124" s="83"/>
      <c r="D124" s="4" t="s">
        <v>221</v>
      </c>
      <c r="F124" s="161"/>
      <c r="G124" s="77">
        <f>SUM(F122)</f>
        <v>2200</v>
      </c>
      <c r="H124" s="77"/>
      <c r="I124" s="77"/>
    </row>
    <row r="125" spans="2:9" s="4" customFormat="1" x14ac:dyDescent="0.2">
      <c r="C125" s="83"/>
      <c r="D125" s="4" t="s">
        <v>220</v>
      </c>
      <c r="F125" s="161"/>
      <c r="G125" s="77"/>
      <c r="H125" s="77">
        <f>SUM(G124)</f>
        <v>2200</v>
      </c>
      <c r="I125" s="77"/>
    </row>
    <row r="126" spans="2:9" s="4" customFormat="1" x14ac:dyDescent="0.2">
      <c r="C126" s="83"/>
      <c r="D126" s="80" t="s">
        <v>219</v>
      </c>
      <c r="E126" s="80"/>
      <c r="F126" s="134"/>
      <c r="G126" s="81"/>
      <c r="H126" s="81"/>
      <c r="I126" s="81">
        <f>SUM(H125)</f>
        <v>2200</v>
      </c>
    </row>
    <row r="127" spans="2:9" x14ac:dyDescent="0.2">
      <c r="B127" s="93"/>
      <c r="C127" s="97"/>
      <c r="D127" s="93"/>
      <c r="E127" s="93"/>
      <c r="F127" s="133"/>
      <c r="H127" s="91"/>
      <c r="I127" s="91"/>
    </row>
    <row r="128" spans="2:9" ht="13.5" thickBot="1" x14ac:dyDescent="0.25">
      <c r="B128" s="7"/>
      <c r="C128" s="13"/>
      <c r="D128" s="78" t="s">
        <v>222</v>
      </c>
      <c r="E128" s="78"/>
      <c r="F128" s="168"/>
      <c r="G128" s="79"/>
      <c r="H128" s="89"/>
      <c r="I128" s="79">
        <f>'2_Despesa econòmica'!G142</f>
        <v>2794109.3406070005</v>
      </c>
    </row>
    <row r="129" spans="3:3" ht="13.5" thickTop="1" x14ac:dyDescent="0.2">
      <c r="C129" s="16"/>
    </row>
    <row r="130" spans="3:3" x14ac:dyDescent="0.2">
      <c r="C130" s="16"/>
    </row>
    <row r="131" spans="3:3" x14ac:dyDescent="0.2">
      <c r="C131" s="16"/>
    </row>
    <row r="132" spans="3:3" x14ac:dyDescent="0.2">
      <c r="C132" s="16"/>
    </row>
    <row r="133" spans="3:3" x14ac:dyDescent="0.2">
      <c r="C133" s="16"/>
    </row>
    <row r="134" spans="3:3" x14ac:dyDescent="0.2">
      <c r="C134" s="16"/>
    </row>
    <row r="135" spans="3:3" x14ac:dyDescent="0.2">
      <c r="C135" s="16"/>
    </row>
    <row r="136" spans="3:3" x14ac:dyDescent="0.2">
      <c r="C136" s="16"/>
    </row>
    <row r="137" spans="3:3" x14ac:dyDescent="0.2">
      <c r="C137" s="16"/>
    </row>
    <row r="138" spans="3:3" x14ac:dyDescent="0.2">
      <c r="C138" s="16"/>
    </row>
    <row r="139" spans="3:3" x14ac:dyDescent="0.2">
      <c r="C139" s="16"/>
    </row>
    <row r="140" spans="3:3" x14ac:dyDescent="0.2">
      <c r="C140" s="16"/>
    </row>
    <row r="141" spans="3:3" x14ac:dyDescent="0.2">
      <c r="C141" s="16"/>
    </row>
    <row r="142" spans="3:3" x14ac:dyDescent="0.2">
      <c r="C142" s="16"/>
    </row>
    <row r="143" spans="3:3" x14ac:dyDescent="0.2">
      <c r="C143" s="16"/>
    </row>
    <row r="144" spans="3:3" x14ac:dyDescent="0.2">
      <c r="C144" s="16"/>
    </row>
    <row r="145" spans="3:3" x14ac:dyDescent="0.2">
      <c r="C145" s="16"/>
    </row>
    <row r="146" spans="3:3" x14ac:dyDescent="0.2">
      <c r="C146" s="16"/>
    </row>
    <row r="147" spans="3:3" x14ac:dyDescent="0.2">
      <c r="C147" s="16"/>
    </row>
    <row r="148" spans="3:3" x14ac:dyDescent="0.2">
      <c r="C148" s="16"/>
    </row>
    <row r="149" spans="3:3" x14ac:dyDescent="0.2">
      <c r="C149" s="16"/>
    </row>
    <row r="150" spans="3:3" x14ac:dyDescent="0.2">
      <c r="C150" s="16"/>
    </row>
    <row r="151" spans="3:3" x14ac:dyDescent="0.2">
      <c r="C151" s="16"/>
    </row>
    <row r="152" spans="3:3" x14ac:dyDescent="0.2">
      <c r="C152" s="16"/>
    </row>
    <row r="153" spans="3:3" x14ac:dyDescent="0.2">
      <c r="C153" s="16"/>
    </row>
    <row r="154" spans="3:3" x14ac:dyDescent="0.2">
      <c r="C154" s="16"/>
    </row>
    <row r="155" spans="3:3" x14ac:dyDescent="0.2">
      <c r="C155" s="16"/>
    </row>
    <row r="156" spans="3:3" x14ac:dyDescent="0.2">
      <c r="C156" s="16"/>
    </row>
    <row r="157" spans="3:3" x14ac:dyDescent="0.2">
      <c r="C157" s="16"/>
    </row>
    <row r="158" spans="3:3" x14ac:dyDescent="0.2">
      <c r="C158" s="16"/>
    </row>
    <row r="159" spans="3:3" x14ac:dyDescent="0.2">
      <c r="C159" s="16"/>
    </row>
    <row r="160" spans="3:3" x14ac:dyDescent="0.2">
      <c r="C160" s="16"/>
    </row>
    <row r="161" spans="3:3" x14ac:dyDescent="0.2">
      <c r="C161" s="16"/>
    </row>
    <row r="162" spans="3:3" x14ac:dyDescent="0.2">
      <c r="C162" s="16"/>
    </row>
    <row r="163" spans="3:3" x14ac:dyDescent="0.2">
      <c r="C163" s="16"/>
    </row>
    <row r="164" spans="3:3" x14ac:dyDescent="0.2">
      <c r="C164" s="16"/>
    </row>
    <row r="165" spans="3:3" x14ac:dyDescent="0.2">
      <c r="C165" s="16"/>
    </row>
    <row r="166" spans="3:3" x14ac:dyDescent="0.2">
      <c r="C166" s="16"/>
    </row>
    <row r="167" spans="3:3" x14ac:dyDescent="0.2">
      <c r="C167" s="16"/>
    </row>
    <row r="168" spans="3:3" x14ac:dyDescent="0.2">
      <c r="C168" s="16"/>
    </row>
    <row r="169" spans="3:3" x14ac:dyDescent="0.2">
      <c r="C169" s="16"/>
    </row>
    <row r="170" spans="3:3" x14ac:dyDescent="0.2">
      <c r="C170" s="16"/>
    </row>
    <row r="171" spans="3:3" x14ac:dyDescent="0.2">
      <c r="C171" s="16"/>
    </row>
    <row r="172" spans="3:3" x14ac:dyDescent="0.2">
      <c r="C172" s="16"/>
    </row>
    <row r="173" spans="3:3" x14ac:dyDescent="0.2">
      <c r="C173" s="16"/>
    </row>
    <row r="174" spans="3:3" x14ac:dyDescent="0.2">
      <c r="C174" s="16"/>
    </row>
    <row r="175" spans="3:3" x14ac:dyDescent="0.2">
      <c r="C175" s="16"/>
    </row>
    <row r="176" spans="3:3" x14ac:dyDescent="0.2">
      <c r="C176" s="16"/>
    </row>
    <row r="177" spans="3:3" x14ac:dyDescent="0.2">
      <c r="C177" s="16"/>
    </row>
    <row r="178" spans="3:3" x14ac:dyDescent="0.2">
      <c r="C178" s="16"/>
    </row>
    <row r="179" spans="3:3" x14ac:dyDescent="0.2">
      <c r="C179" s="16"/>
    </row>
    <row r="180" spans="3:3" x14ac:dyDescent="0.2">
      <c r="C180" s="16"/>
    </row>
    <row r="181" spans="3:3" x14ac:dyDescent="0.2">
      <c r="C181" s="16"/>
    </row>
    <row r="182" spans="3:3" x14ac:dyDescent="0.2">
      <c r="C182" s="16"/>
    </row>
    <row r="183" spans="3:3" x14ac:dyDescent="0.2">
      <c r="C183" s="16"/>
    </row>
    <row r="184" spans="3:3" x14ac:dyDescent="0.2">
      <c r="C184" s="16"/>
    </row>
    <row r="185" spans="3:3" x14ac:dyDescent="0.2">
      <c r="C185" s="16"/>
    </row>
    <row r="186" spans="3:3" x14ac:dyDescent="0.2">
      <c r="C186" s="16"/>
    </row>
    <row r="187" spans="3:3" x14ac:dyDescent="0.2">
      <c r="C187" s="16"/>
    </row>
    <row r="188" spans="3:3" x14ac:dyDescent="0.2">
      <c r="C188" s="16"/>
    </row>
    <row r="189" spans="3:3" x14ac:dyDescent="0.2">
      <c r="C189" s="16"/>
    </row>
    <row r="190" spans="3:3" x14ac:dyDescent="0.2">
      <c r="C190" s="16"/>
    </row>
    <row r="191" spans="3:3" x14ac:dyDescent="0.2">
      <c r="C191" s="16"/>
    </row>
    <row r="192" spans="3:3" x14ac:dyDescent="0.2">
      <c r="C192" s="16"/>
    </row>
    <row r="193" spans="3:3" x14ac:dyDescent="0.2">
      <c r="C193" s="16"/>
    </row>
    <row r="194" spans="3:3" x14ac:dyDescent="0.2">
      <c r="C194" s="16"/>
    </row>
    <row r="195" spans="3:3" x14ac:dyDescent="0.2">
      <c r="C195" s="16"/>
    </row>
    <row r="196" spans="3:3" x14ac:dyDescent="0.2">
      <c r="C196" s="16"/>
    </row>
    <row r="197" spans="3:3" x14ac:dyDescent="0.2">
      <c r="C197" s="16"/>
    </row>
    <row r="198" spans="3:3" x14ac:dyDescent="0.2">
      <c r="C198" s="16"/>
    </row>
    <row r="199" spans="3:3" x14ac:dyDescent="0.2">
      <c r="C199" s="16"/>
    </row>
    <row r="200" spans="3:3" x14ac:dyDescent="0.2">
      <c r="C200" s="16"/>
    </row>
    <row r="201" spans="3:3" x14ac:dyDescent="0.2">
      <c r="C201" s="16"/>
    </row>
    <row r="202" spans="3:3" x14ac:dyDescent="0.2">
      <c r="C202" s="16"/>
    </row>
    <row r="203" spans="3:3" x14ac:dyDescent="0.2">
      <c r="C203" s="16"/>
    </row>
    <row r="204" spans="3:3" x14ac:dyDescent="0.2">
      <c r="C204" s="16"/>
    </row>
    <row r="205" spans="3:3" x14ac:dyDescent="0.2">
      <c r="C205" s="16"/>
    </row>
    <row r="206" spans="3:3" x14ac:dyDescent="0.2">
      <c r="C206" s="16"/>
    </row>
    <row r="207" spans="3:3" x14ac:dyDescent="0.2">
      <c r="C207" s="16"/>
    </row>
    <row r="208" spans="3:3" x14ac:dyDescent="0.2">
      <c r="C208" s="16"/>
    </row>
    <row r="209" spans="3:3" x14ac:dyDescent="0.2">
      <c r="C209" s="16"/>
    </row>
    <row r="210" spans="3:3" x14ac:dyDescent="0.2">
      <c r="C210" s="16"/>
    </row>
    <row r="211" spans="3:3" x14ac:dyDescent="0.2">
      <c r="C211" s="16"/>
    </row>
    <row r="212" spans="3:3" x14ac:dyDescent="0.2">
      <c r="C212" s="16"/>
    </row>
    <row r="213" spans="3:3" x14ac:dyDescent="0.2">
      <c r="C213" s="16"/>
    </row>
    <row r="214" spans="3:3" x14ac:dyDescent="0.2">
      <c r="C214" s="16"/>
    </row>
    <row r="215" spans="3:3" x14ac:dyDescent="0.2">
      <c r="C215" s="16"/>
    </row>
    <row r="216" spans="3:3" x14ac:dyDescent="0.2">
      <c r="C216" s="16"/>
    </row>
    <row r="217" spans="3:3" x14ac:dyDescent="0.2">
      <c r="C217" s="16"/>
    </row>
    <row r="218" spans="3:3" x14ac:dyDescent="0.2">
      <c r="C218" s="16"/>
    </row>
    <row r="219" spans="3:3" x14ac:dyDescent="0.2">
      <c r="C219" s="16"/>
    </row>
    <row r="220" spans="3:3" x14ac:dyDescent="0.2">
      <c r="C220" s="16"/>
    </row>
    <row r="221" spans="3:3" x14ac:dyDescent="0.2">
      <c r="C221" s="16"/>
    </row>
    <row r="222" spans="3:3" x14ac:dyDescent="0.2">
      <c r="C222" s="16"/>
    </row>
    <row r="223" spans="3:3" x14ac:dyDescent="0.2">
      <c r="C223" s="16"/>
    </row>
    <row r="224" spans="3:3" x14ac:dyDescent="0.2">
      <c r="C224" s="16"/>
    </row>
    <row r="225" spans="3:3" x14ac:dyDescent="0.2">
      <c r="C225" s="16"/>
    </row>
    <row r="226" spans="3:3" x14ac:dyDescent="0.2">
      <c r="C226" s="16"/>
    </row>
    <row r="227" spans="3:3" x14ac:dyDescent="0.2">
      <c r="C227" s="16"/>
    </row>
    <row r="228" spans="3:3" x14ac:dyDescent="0.2">
      <c r="C228" s="16"/>
    </row>
    <row r="229" spans="3:3" x14ac:dyDescent="0.2">
      <c r="C229" s="16"/>
    </row>
    <row r="230" spans="3:3" x14ac:dyDescent="0.2">
      <c r="C230" s="16"/>
    </row>
    <row r="231" spans="3:3" x14ac:dyDescent="0.2">
      <c r="C231" s="16"/>
    </row>
    <row r="232" spans="3:3" x14ac:dyDescent="0.2">
      <c r="C232" s="16"/>
    </row>
    <row r="233" spans="3:3" x14ac:dyDescent="0.2">
      <c r="C233" s="16"/>
    </row>
    <row r="234" spans="3:3" x14ac:dyDescent="0.2">
      <c r="C234" s="16"/>
    </row>
    <row r="235" spans="3:3" x14ac:dyDescent="0.2">
      <c r="C235" s="16"/>
    </row>
    <row r="236" spans="3:3" x14ac:dyDescent="0.2">
      <c r="C236" s="16"/>
    </row>
    <row r="237" spans="3:3" x14ac:dyDescent="0.2">
      <c r="C237" s="16"/>
    </row>
    <row r="238" spans="3:3" x14ac:dyDescent="0.2">
      <c r="C238" s="16"/>
    </row>
    <row r="239" spans="3:3" x14ac:dyDescent="0.2">
      <c r="C239" s="16"/>
    </row>
    <row r="240" spans="3:3" x14ac:dyDescent="0.2">
      <c r="C240" s="16"/>
    </row>
    <row r="241" spans="3:3" x14ac:dyDescent="0.2">
      <c r="C241" s="16"/>
    </row>
    <row r="242" spans="3:3" x14ac:dyDescent="0.2">
      <c r="C242" s="16"/>
    </row>
    <row r="243" spans="3:3" x14ac:dyDescent="0.2">
      <c r="C243" s="16"/>
    </row>
    <row r="244" spans="3:3" x14ac:dyDescent="0.2">
      <c r="C244" s="16"/>
    </row>
    <row r="245" spans="3:3" x14ac:dyDescent="0.2">
      <c r="C245" s="16"/>
    </row>
    <row r="246" spans="3:3" x14ac:dyDescent="0.2">
      <c r="C246" s="16"/>
    </row>
    <row r="247" spans="3:3" x14ac:dyDescent="0.2">
      <c r="C247" s="16"/>
    </row>
    <row r="248" spans="3:3" x14ac:dyDescent="0.2">
      <c r="C248" s="16"/>
    </row>
    <row r="249" spans="3:3" x14ac:dyDescent="0.2">
      <c r="C249" s="16"/>
    </row>
    <row r="250" spans="3:3" x14ac:dyDescent="0.2">
      <c r="C250" s="16"/>
    </row>
    <row r="251" spans="3:3" x14ac:dyDescent="0.2">
      <c r="C251" s="16"/>
    </row>
    <row r="252" spans="3:3" x14ac:dyDescent="0.2">
      <c r="C252" s="16"/>
    </row>
    <row r="253" spans="3:3" x14ac:dyDescent="0.2">
      <c r="C253" s="16"/>
    </row>
    <row r="254" spans="3:3" x14ac:dyDescent="0.2">
      <c r="C254" s="16"/>
    </row>
    <row r="255" spans="3:3" x14ac:dyDescent="0.2">
      <c r="C255" s="16"/>
    </row>
    <row r="256" spans="3:3" x14ac:dyDescent="0.2">
      <c r="C256" s="16"/>
    </row>
  </sheetData>
  <mergeCells count="7">
    <mergeCell ref="D102:D103"/>
    <mergeCell ref="E102:E103"/>
    <mergeCell ref="G102:I102"/>
    <mergeCell ref="B6:D7"/>
    <mergeCell ref="D28:D29"/>
    <mergeCell ref="E28:E29"/>
    <mergeCell ref="G28:I28"/>
  </mergeCells>
  <phoneticPr fontId="6" type="noConversion"/>
  <pageMargins left="0.70866141732283472" right="0.51181102362204722" top="1.9685039370078741" bottom="1.1811023622047245" header="0.51181102362204722" footer="0.51181102362204722"/>
  <pageSetup paperSize="9" scale="45" firstPageNumber="0" orientation="portrait" r:id="rId1"/>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K150"/>
  <sheetViews>
    <sheetView workbookViewId="0">
      <selection activeCell="F30" sqref="F30"/>
    </sheetView>
  </sheetViews>
  <sheetFormatPr baseColWidth="10" defaultColWidth="11.42578125" defaultRowHeight="12.75" x14ac:dyDescent="0.2"/>
  <cols>
    <col min="1" max="2" width="6.42578125" style="1" customWidth="1"/>
    <col min="3" max="3" width="39.7109375" style="1" customWidth="1"/>
    <col min="4" max="4" width="29.42578125" style="1" customWidth="1"/>
    <col min="5" max="10" width="12.7109375" style="2" customWidth="1"/>
    <col min="11" max="11" width="12.7109375" style="1" customWidth="1"/>
    <col min="12" max="16384" width="11.42578125" style="1"/>
  </cols>
  <sheetData>
    <row r="1" spans="1:11" ht="51" customHeight="1" x14ac:dyDescent="0.2"/>
    <row r="2" spans="1:11" x14ac:dyDescent="0.2">
      <c r="A2" s="3" t="s">
        <v>274</v>
      </c>
      <c r="G2" s="8"/>
    </row>
    <row r="3" spans="1:11" x14ac:dyDescent="0.2">
      <c r="A3" s="4" t="s">
        <v>101</v>
      </c>
      <c r="G3" s="8"/>
    </row>
    <row r="4" spans="1:11" x14ac:dyDescent="0.2">
      <c r="G4" s="8"/>
    </row>
    <row r="5" spans="1:11" x14ac:dyDescent="0.2">
      <c r="F5" s="9"/>
      <c r="G5" s="8"/>
    </row>
    <row r="6" spans="1:11" x14ac:dyDescent="0.2">
      <c r="A6" s="18" t="s">
        <v>19</v>
      </c>
      <c r="B6" s="18" t="s">
        <v>19</v>
      </c>
      <c r="C6" s="242" t="s">
        <v>20</v>
      </c>
      <c r="D6" s="242" t="s">
        <v>51</v>
      </c>
      <c r="E6" s="5" t="s">
        <v>21</v>
      </c>
      <c r="F6" s="5" t="s">
        <v>102</v>
      </c>
      <c r="G6" s="5"/>
      <c r="H6" s="5" t="s">
        <v>103</v>
      </c>
      <c r="I6" s="5" t="s">
        <v>104</v>
      </c>
      <c r="J6" s="5" t="s">
        <v>104</v>
      </c>
    </row>
    <row r="7" spans="1:11" x14ac:dyDescent="0.2">
      <c r="A7" s="12" t="s">
        <v>52</v>
      </c>
      <c r="B7" s="12" t="s">
        <v>53</v>
      </c>
      <c r="C7" s="242"/>
      <c r="D7" s="242"/>
      <c r="E7" s="6" t="s">
        <v>54</v>
      </c>
      <c r="F7" s="6" t="s">
        <v>105</v>
      </c>
      <c r="G7" s="6" t="s">
        <v>106</v>
      </c>
      <c r="H7" s="6" t="s">
        <v>107</v>
      </c>
      <c r="I7" s="6" t="s">
        <v>108</v>
      </c>
      <c r="J7" s="6" t="s">
        <v>109</v>
      </c>
      <c r="K7" s="12" t="s">
        <v>110</v>
      </c>
    </row>
    <row r="8" spans="1:11" x14ac:dyDescent="0.2">
      <c r="F8" s="8"/>
      <c r="G8" s="8"/>
    </row>
    <row r="9" spans="1:11" x14ac:dyDescent="0.2">
      <c r="A9" s="1">
        <v>629</v>
      </c>
      <c r="B9" s="97">
        <v>3230</v>
      </c>
      <c r="C9" s="1" t="s">
        <v>95</v>
      </c>
      <c r="D9" s="1" t="s">
        <v>59</v>
      </c>
      <c r="E9" s="132">
        <v>16000</v>
      </c>
      <c r="F9" s="8"/>
      <c r="G9" s="1"/>
      <c r="H9" s="132">
        <v>16000</v>
      </c>
      <c r="I9" s="1"/>
      <c r="J9" s="1"/>
    </row>
    <row r="10" spans="1:11" x14ac:dyDescent="0.2">
      <c r="A10" s="1">
        <v>629</v>
      </c>
      <c r="B10" s="97">
        <v>3231</v>
      </c>
      <c r="C10" s="1" t="s">
        <v>95</v>
      </c>
      <c r="D10" s="1" t="s">
        <v>60</v>
      </c>
      <c r="E10" s="132">
        <v>16000</v>
      </c>
      <c r="F10" s="8"/>
      <c r="G10" s="8"/>
      <c r="H10" s="132">
        <v>16000</v>
      </c>
    </row>
    <row r="11" spans="1:11" x14ac:dyDescent="0.2">
      <c r="A11" s="1">
        <v>629</v>
      </c>
      <c r="B11" s="1">
        <v>3200</v>
      </c>
      <c r="C11" s="1" t="s">
        <v>95</v>
      </c>
      <c r="D11" s="1" t="s">
        <v>263</v>
      </c>
      <c r="E11" s="8">
        <v>5516</v>
      </c>
      <c r="F11" s="8"/>
      <c r="G11" s="8"/>
      <c r="H11" s="132">
        <v>5516</v>
      </c>
    </row>
    <row r="12" spans="1:11" x14ac:dyDescent="0.2">
      <c r="C12" s="1" t="s">
        <v>111</v>
      </c>
      <c r="E12" s="8">
        <f t="shared" ref="E12:K12" si="0">SUM(E9:E11)</f>
        <v>37516</v>
      </c>
      <c r="F12" s="8">
        <f t="shared" si="0"/>
        <v>0</v>
      </c>
      <c r="G12" s="8">
        <f t="shared" si="0"/>
        <v>0</v>
      </c>
      <c r="H12" s="132">
        <f t="shared" si="0"/>
        <v>37516</v>
      </c>
      <c r="I12" s="2">
        <f t="shared" si="0"/>
        <v>0</v>
      </c>
      <c r="J12" s="2">
        <f t="shared" si="0"/>
        <v>0</v>
      </c>
      <c r="K12" s="2">
        <f t="shared" si="0"/>
        <v>0</v>
      </c>
    </row>
    <row r="13" spans="1:11" x14ac:dyDescent="0.2">
      <c r="F13" s="8"/>
      <c r="G13" s="8"/>
    </row>
    <row r="14" spans="1:11" x14ac:dyDescent="0.2">
      <c r="F14" s="8"/>
      <c r="G14" s="8"/>
    </row>
    <row r="15" spans="1:11" x14ac:dyDescent="0.2">
      <c r="A15" s="1" t="s">
        <v>270</v>
      </c>
      <c r="F15" s="8"/>
      <c r="G15" s="8"/>
    </row>
    <row r="16" spans="1:11" x14ac:dyDescent="0.2">
      <c r="A16" s="1" t="s">
        <v>276</v>
      </c>
      <c r="F16" s="8"/>
      <c r="G16" s="8"/>
    </row>
    <row r="17" spans="1:7" x14ac:dyDescent="0.2">
      <c r="F17" s="8"/>
      <c r="G17" s="8"/>
    </row>
    <row r="18" spans="1:7" x14ac:dyDescent="0.2">
      <c r="F18" s="8"/>
      <c r="G18" s="8"/>
    </row>
    <row r="19" spans="1:7" x14ac:dyDescent="0.2">
      <c r="F19" s="8"/>
      <c r="G19" s="8"/>
    </row>
    <row r="20" spans="1:7" x14ac:dyDescent="0.2">
      <c r="F20" s="8"/>
      <c r="G20" s="8"/>
    </row>
    <row r="21" spans="1:7" x14ac:dyDescent="0.2">
      <c r="F21" s="8"/>
      <c r="G21" s="8"/>
    </row>
    <row r="22" spans="1:7" x14ac:dyDescent="0.2">
      <c r="A22" s="1" t="s">
        <v>275</v>
      </c>
      <c r="F22" s="8"/>
      <c r="G22" s="8"/>
    </row>
    <row r="23" spans="1:7" x14ac:dyDescent="0.2">
      <c r="F23" s="8"/>
      <c r="G23" s="8"/>
    </row>
    <row r="24" spans="1:7" x14ac:dyDescent="0.2">
      <c r="F24" s="8"/>
      <c r="G24" s="8"/>
    </row>
    <row r="25" spans="1:7" x14ac:dyDescent="0.2">
      <c r="F25" s="8"/>
      <c r="G25" s="8"/>
    </row>
    <row r="26" spans="1:7" x14ac:dyDescent="0.2">
      <c r="F26" s="8"/>
      <c r="G26" s="8"/>
    </row>
    <row r="27" spans="1:7" x14ac:dyDescent="0.2">
      <c r="F27" s="8"/>
      <c r="G27" s="8"/>
    </row>
    <row r="28" spans="1:7" x14ac:dyDescent="0.2">
      <c r="F28" s="8"/>
      <c r="G28" s="8"/>
    </row>
    <row r="29" spans="1:7" x14ac:dyDescent="0.2">
      <c r="F29" s="8"/>
      <c r="G29" s="8"/>
    </row>
    <row r="30" spans="1:7" x14ac:dyDescent="0.2">
      <c r="F30" s="8"/>
      <c r="G30" s="8"/>
    </row>
    <row r="31" spans="1:7" x14ac:dyDescent="0.2">
      <c r="F31" s="8"/>
      <c r="G31" s="8"/>
    </row>
    <row r="32" spans="1:7" x14ac:dyDescent="0.2">
      <c r="F32" s="8"/>
      <c r="G32" s="8"/>
    </row>
    <row r="33" spans="6:7" x14ac:dyDescent="0.2">
      <c r="F33" s="8"/>
      <c r="G33" s="8"/>
    </row>
    <row r="34" spans="6:7" x14ac:dyDescent="0.2">
      <c r="F34" s="8"/>
      <c r="G34" s="8"/>
    </row>
    <row r="35" spans="6:7" x14ac:dyDescent="0.2">
      <c r="F35" s="8"/>
      <c r="G35" s="8"/>
    </row>
    <row r="36" spans="6:7" x14ac:dyDescent="0.2">
      <c r="F36" s="8"/>
      <c r="G36" s="8"/>
    </row>
    <row r="37" spans="6:7" x14ac:dyDescent="0.2">
      <c r="F37" s="8"/>
      <c r="G37" s="8"/>
    </row>
    <row r="38" spans="6:7" x14ac:dyDescent="0.2">
      <c r="F38" s="8"/>
      <c r="G38" s="8"/>
    </row>
    <row r="39" spans="6:7" x14ac:dyDescent="0.2">
      <c r="F39" s="8"/>
      <c r="G39" s="8"/>
    </row>
    <row r="40" spans="6:7" x14ac:dyDescent="0.2">
      <c r="F40" s="8"/>
      <c r="G40" s="8"/>
    </row>
    <row r="41" spans="6:7" x14ac:dyDescent="0.2">
      <c r="F41" s="8"/>
      <c r="G41" s="8"/>
    </row>
    <row r="42" spans="6:7" x14ac:dyDescent="0.2">
      <c r="F42" s="8"/>
      <c r="G42" s="8"/>
    </row>
    <row r="43" spans="6:7" x14ac:dyDescent="0.2">
      <c r="F43" s="8"/>
      <c r="G43" s="8"/>
    </row>
    <row r="44" spans="6:7" x14ac:dyDescent="0.2">
      <c r="F44" s="8"/>
      <c r="G44" s="8"/>
    </row>
    <row r="45" spans="6:7" x14ac:dyDescent="0.2">
      <c r="F45" s="8"/>
      <c r="G45" s="8"/>
    </row>
    <row r="46" spans="6:7" x14ac:dyDescent="0.2">
      <c r="F46" s="8"/>
      <c r="G46" s="8"/>
    </row>
    <row r="47" spans="6:7" x14ac:dyDescent="0.2">
      <c r="F47" s="8"/>
      <c r="G47" s="8"/>
    </row>
    <row r="48" spans="6:7" x14ac:dyDescent="0.2">
      <c r="F48" s="8"/>
      <c r="G48" s="8"/>
    </row>
    <row r="49" spans="6:7" x14ac:dyDescent="0.2">
      <c r="F49" s="8"/>
      <c r="G49" s="8"/>
    </row>
    <row r="50" spans="6:7" x14ac:dyDescent="0.2">
      <c r="F50" s="8"/>
      <c r="G50" s="8"/>
    </row>
    <row r="51" spans="6:7" x14ac:dyDescent="0.2">
      <c r="F51" s="8"/>
      <c r="G51" s="8"/>
    </row>
    <row r="52" spans="6:7" x14ac:dyDescent="0.2">
      <c r="F52" s="8"/>
      <c r="G52" s="8"/>
    </row>
    <row r="53" spans="6:7" x14ac:dyDescent="0.2">
      <c r="F53" s="8"/>
      <c r="G53" s="8"/>
    </row>
    <row r="54" spans="6:7" x14ac:dyDescent="0.2">
      <c r="F54" s="8"/>
      <c r="G54" s="8"/>
    </row>
    <row r="55" spans="6:7" x14ac:dyDescent="0.2">
      <c r="F55" s="8"/>
      <c r="G55" s="8"/>
    </row>
    <row r="56" spans="6:7" x14ac:dyDescent="0.2">
      <c r="F56" s="8"/>
      <c r="G56" s="8"/>
    </row>
    <row r="57" spans="6:7" x14ac:dyDescent="0.2">
      <c r="F57" s="8"/>
      <c r="G57" s="8"/>
    </row>
    <row r="58" spans="6:7" x14ac:dyDescent="0.2">
      <c r="F58" s="8"/>
      <c r="G58" s="8"/>
    </row>
    <row r="59" spans="6:7" x14ac:dyDescent="0.2">
      <c r="F59" s="8"/>
      <c r="G59" s="8"/>
    </row>
    <row r="60" spans="6:7" x14ac:dyDescent="0.2">
      <c r="F60" s="8"/>
      <c r="G60" s="8"/>
    </row>
    <row r="61" spans="6:7" x14ac:dyDescent="0.2">
      <c r="F61" s="8"/>
      <c r="G61" s="8"/>
    </row>
    <row r="62" spans="6:7" x14ac:dyDescent="0.2">
      <c r="F62" s="8"/>
      <c r="G62" s="8"/>
    </row>
    <row r="63" spans="6:7" x14ac:dyDescent="0.2">
      <c r="F63" s="8"/>
      <c r="G63" s="8"/>
    </row>
    <row r="64" spans="6:7" x14ac:dyDescent="0.2">
      <c r="F64" s="8"/>
      <c r="G64" s="8"/>
    </row>
    <row r="65" spans="6:7" x14ac:dyDescent="0.2">
      <c r="F65" s="8"/>
      <c r="G65" s="8"/>
    </row>
    <row r="66" spans="6:7" x14ac:dyDescent="0.2">
      <c r="F66" s="8"/>
      <c r="G66" s="8"/>
    </row>
    <row r="67" spans="6:7" x14ac:dyDescent="0.2">
      <c r="F67" s="8"/>
      <c r="G67" s="8"/>
    </row>
    <row r="68" spans="6:7" x14ac:dyDescent="0.2">
      <c r="F68" s="8"/>
      <c r="G68" s="8"/>
    </row>
    <row r="69" spans="6:7" x14ac:dyDescent="0.2">
      <c r="F69" s="8"/>
      <c r="G69" s="8"/>
    </row>
    <row r="70" spans="6:7" x14ac:dyDescent="0.2">
      <c r="F70" s="8"/>
      <c r="G70" s="8"/>
    </row>
    <row r="71" spans="6:7" x14ac:dyDescent="0.2">
      <c r="F71" s="8"/>
      <c r="G71" s="8"/>
    </row>
    <row r="72" spans="6:7" x14ac:dyDescent="0.2">
      <c r="F72" s="8"/>
      <c r="G72" s="8"/>
    </row>
    <row r="73" spans="6:7" x14ac:dyDescent="0.2">
      <c r="F73" s="8"/>
      <c r="G73" s="8"/>
    </row>
    <row r="74" spans="6:7" x14ac:dyDescent="0.2">
      <c r="F74" s="8"/>
      <c r="G74" s="8"/>
    </row>
    <row r="75" spans="6:7" x14ac:dyDescent="0.2">
      <c r="F75" s="8"/>
      <c r="G75" s="8"/>
    </row>
    <row r="76" spans="6:7" x14ac:dyDescent="0.2">
      <c r="F76" s="8"/>
      <c r="G76" s="8"/>
    </row>
    <row r="77" spans="6:7" x14ac:dyDescent="0.2">
      <c r="F77" s="8"/>
      <c r="G77" s="8"/>
    </row>
    <row r="78" spans="6:7" x14ac:dyDescent="0.2">
      <c r="F78" s="8"/>
      <c r="G78" s="8"/>
    </row>
    <row r="79" spans="6:7" x14ac:dyDescent="0.2">
      <c r="F79" s="8"/>
      <c r="G79" s="8"/>
    </row>
    <row r="80" spans="6:7" x14ac:dyDescent="0.2">
      <c r="F80" s="8"/>
      <c r="G80" s="8"/>
    </row>
    <row r="81" spans="6:7" x14ac:dyDescent="0.2">
      <c r="F81" s="8"/>
      <c r="G81" s="8"/>
    </row>
    <row r="82" spans="6:7" x14ac:dyDescent="0.2">
      <c r="F82" s="8"/>
      <c r="G82" s="8"/>
    </row>
    <row r="83" spans="6:7" x14ac:dyDescent="0.2">
      <c r="F83" s="8"/>
      <c r="G83" s="8"/>
    </row>
    <row r="84" spans="6:7" x14ac:dyDescent="0.2">
      <c r="F84" s="8"/>
      <c r="G84" s="8"/>
    </row>
    <row r="85" spans="6:7" x14ac:dyDescent="0.2">
      <c r="F85" s="8"/>
      <c r="G85" s="8"/>
    </row>
    <row r="86" spans="6:7" x14ac:dyDescent="0.2">
      <c r="F86" s="8"/>
      <c r="G86" s="8"/>
    </row>
    <row r="87" spans="6:7" x14ac:dyDescent="0.2">
      <c r="F87" s="8"/>
      <c r="G87" s="8"/>
    </row>
    <row r="88" spans="6:7" x14ac:dyDescent="0.2">
      <c r="F88" s="8"/>
      <c r="G88" s="8"/>
    </row>
    <row r="89" spans="6:7" x14ac:dyDescent="0.2">
      <c r="F89" s="8"/>
      <c r="G89" s="8"/>
    </row>
    <row r="90" spans="6:7" x14ac:dyDescent="0.2">
      <c r="F90" s="8"/>
      <c r="G90" s="8"/>
    </row>
    <row r="91" spans="6:7" x14ac:dyDescent="0.2">
      <c r="F91" s="8"/>
      <c r="G91" s="8"/>
    </row>
    <row r="92" spans="6:7" x14ac:dyDescent="0.2">
      <c r="F92" s="8"/>
      <c r="G92" s="8"/>
    </row>
    <row r="93" spans="6:7" x14ac:dyDescent="0.2">
      <c r="F93" s="8"/>
      <c r="G93" s="8"/>
    </row>
    <row r="94" spans="6:7" x14ac:dyDescent="0.2">
      <c r="F94" s="8"/>
      <c r="G94" s="8"/>
    </row>
    <row r="95" spans="6:7" x14ac:dyDescent="0.2">
      <c r="F95" s="8"/>
      <c r="G95" s="8"/>
    </row>
    <row r="96" spans="6:7" x14ac:dyDescent="0.2">
      <c r="F96" s="8"/>
      <c r="G96" s="8"/>
    </row>
    <row r="97" spans="6:7" x14ac:dyDescent="0.2">
      <c r="F97" s="8"/>
      <c r="G97" s="8"/>
    </row>
    <row r="98" spans="6:7" x14ac:dyDescent="0.2">
      <c r="F98" s="8"/>
      <c r="G98" s="8"/>
    </row>
    <row r="99" spans="6:7" x14ac:dyDescent="0.2">
      <c r="F99" s="8"/>
      <c r="G99" s="8"/>
    </row>
    <row r="100" spans="6:7" x14ac:dyDescent="0.2">
      <c r="F100" s="8"/>
      <c r="G100" s="8"/>
    </row>
    <row r="101" spans="6:7" x14ac:dyDescent="0.2">
      <c r="F101" s="8"/>
      <c r="G101" s="8"/>
    </row>
    <row r="102" spans="6:7" x14ac:dyDescent="0.2">
      <c r="F102" s="8"/>
      <c r="G102" s="8"/>
    </row>
    <row r="103" spans="6:7" x14ac:dyDescent="0.2">
      <c r="F103" s="8"/>
      <c r="G103" s="8"/>
    </row>
    <row r="104" spans="6:7" x14ac:dyDescent="0.2">
      <c r="F104" s="8"/>
      <c r="G104" s="8"/>
    </row>
    <row r="105" spans="6:7" x14ac:dyDescent="0.2">
      <c r="F105" s="8"/>
      <c r="G105" s="8"/>
    </row>
    <row r="106" spans="6:7" x14ac:dyDescent="0.2">
      <c r="F106" s="8"/>
      <c r="G106" s="8"/>
    </row>
    <row r="107" spans="6:7" x14ac:dyDescent="0.2">
      <c r="F107" s="8"/>
      <c r="G107" s="8"/>
    </row>
    <row r="108" spans="6:7" x14ac:dyDescent="0.2">
      <c r="F108" s="8"/>
      <c r="G108" s="8"/>
    </row>
    <row r="109" spans="6:7" x14ac:dyDescent="0.2">
      <c r="F109" s="8"/>
      <c r="G109" s="8"/>
    </row>
    <row r="110" spans="6:7" x14ac:dyDescent="0.2">
      <c r="F110" s="8"/>
      <c r="G110" s="8"/>
    </row>
    <row r="111" spans="6:7" x14ac:dyDescent="0.2">
      <c r="F111" s="8"/>
      <c r="G111" s="8"/>
    </row>
    <row r="112" spans="6:7" x14ac:dyDescent="0.2">
      <c r="F112" s="8"/>
      <c r="G112" s="8"/>
    </row>
    <row r="113" spans="6:7" x14ac:dyDescent="0.2">
      <c r="F113" s="8"/>
      <c r="G113" s="8"/>
    </row>
    <row r="114" spans="6:7" x14ac:dyDescent="0.2">
      <c r="F114" s="8"/>
      <c r="G114" s="8"/>
    </row>
    <row r="115" spans="6:7" x14ac:dyDescent="0.2">
      <c r="F115" s="8"/>
      <c r="G115" s="8"/>
    </row>
    <row r="116" spans="6:7" x14ac:dyDescent="0.2">
      <c r="F116" s="8"/>
      <c r="G116" s="9"/>
    </row>
    <row r="117" spans="6:7" x14ac:dyDescent="0.2">
      <c r="F117" s="8"/>
      <c r="G117" s="9"/>
    </row>
    <row r="118" spans="6:7" x14ac:dyDescent="0.2">
      <c r="F118" s="8"/>
      <c r="G118" s="9"/>
    </row>
    <row r="119" spans="6:7" x14ac:dyDescent="0.2">
      <c r="F119" s="8"/>
      <c r="G119" s="9"/>
    </row>
    <row r="120" spans="6:7" x14ac:dyDescent="0.2">
      <c r="F120" s="8"/>
      <c r="G120" s="9"/>
    </row>
    <row r="121" spans="6:7" x14ac:dyDescent="0.2">
      <c r="F121" s="8"/>
      <c r="G121" s="9"/>
    </row>
    <row r="122" spans="6:7" x14ac:dyDescent="0.2">
      <c r="F122" s="8"/>
      <c r="G122" s="9"/>
    </row>
    <row r="123" spans="6:7" x14ac:dyDescent="0.2">
      <c r="F123" s="8"/>
      <c r="G123" s="9"/>
    </row>
    <row r="124" spans="6:7" x14ac:dyDescent="0.2">
      <c r="F124" s="8"/>
      <c r="G124" s="9"/>
    </row>
    <row r="125" spans="6:7" x14ac:dyDescent="0.2">
      <c r="F125" s="8"/>
      <c r="G125" s="9"/>
    </row>
    <row r="126" spans="6:7" x14ac:dyDescent="0.2">
      <c r="F126" s="8"/>
      <c r="G126" s="9"/>
    </row>
    <row r="127" spans="6:7" x14ac:dyDescent="0.2">
      <c r="F127" s="8"/>
      <c r="G127" s="9"/>
    </row>
    <row r="128" spans="6:7" x14ac:dyDescent="0.2">
      <c r="F128" s="8"/>
      <c r="G128" s="9"/>
    </row>
    <row r="129" spans="6:7" x14ac:dyDescent="0.2">
      <c r="F129" s="8"/>
      <c r="G129" s="9"/>
    </row>
    <row r="130" spans="6:7" x14ac:dyDescent="0.2">
      <c r="F130" s="8"/>
      <c r="G130" s="9"/>
    </row>
    <row r="131" spans="6:7" x14ac:dyDescent="0.2">
      <c r="F131" s="8"/>
      <c r="G131" s="9"/>
    </row>
    <row r="132" spans="6:7" x14ac:dyDescent="0.2">
      <c r="F132" s="8"/>
      <c r="G132" s="9"/>
    </row>
    <row r="133" spans="6:7" x14ac:dyDescent="0.2">
      <c r="F133" s="8"/>
      <c r="G133" s="9"/>
    </row>
    <row r="134" spans="6:7" x14ac:dyDescent="0.2">
      <c r="F134" s="8"/>
      <c r="G134" s="9"/>
    </row>
    <row r="135" spans="6:7" x14ac:dyDescent="0.2">
      <c r="F135" s="8"/>
      <c r="G135" s="9"/>
    </row>
    <row r="136" spans="6:7" x14ac:dyDescent="0.2">
      <c r="F136" s="8"/>
      <c r="G136" s="9"/>
    </row>
    <row r="137" spans="6:7" x14ac:dyDescent="0.2">
      <c r="F137" s="8"/>
      <c r="G137" s="9"/>
    </row>
    <row r="138" spans="6:7" x14ac:dyDescent="0.2">
      <c r="F138" s="8"/>
      <c r="G138" s="9"/>
    </row>
    <row r="139" spans="6:7" x14ac:dyDescent="0.2">
      <c r="F139" s="8"/>
      <c r="G139" s="9"/>
    </row>
    <row r="140" spans="6:7" x14ac:dyDescent="0.2">
      <c r="F140" s="8"/>
      <c r="G140" s="9"/>
    </row>
    <row r="141" spans="6:7" x14ac:dyDescent="0.2">
      <c r="F141" s="8"/>
      <c r="G141" s="9"/>
    </row>
    <row r="142" spans="6:7" x14ac:dyDescent="0.2">
      <c r="F142" s="8"/>
      <c r="G142" s="9"/>
    </row>
    <row r="143" spans="6:7" x14ac:dyDescent="0.2">
      <c r="F143" s="8"/>
      <c r="G143" s="9"/>
    </row>
    <row r="144" spans="6:7" x14ac:dyDescent="0.2">
      <c r="F144" s="8"/>
      <c r="G144" s="9"/>
    </row>
    <row r="145" spans="6:7" x14ac:dyDescent="0.2">
      <c r="F145" s="8"/>
      <c r="G145" s="9"/>
    </row>
    <row r="146" spans="6:7" x14ac:dyDescent="0.2">
      <c r="F146" s="8"/>
      <c r="G146" s="9"/>
    </row>
    <row r="147" spans="6:7" x14ac:dyDescent="0.2">
      <c r="F147" s="8"/>
      <c r="G147" s="9"/>
    </row>
    <row r="148" spans="6:7" x14ac:dyDescent="0.2">
      <c r="F148" s="8"/>
      <c r="G148" s="9"/>
    </row>
    <row r="149" spans="6:7" x14ac:dyDescent="0.2">
      <c r="F149" s="8"/>
      <c r="G149" s="9"/>
    </row>
    <row r="150" spans="6:7" x14ac:dyDescent="0.2">
      <c r="F150" s="8"/>
      <c r="G150" s="9"/>
    </row>
  </sheetData>
  <mergeCells count="2">
    <mergeCell ref="C6:C7"/>
    <mergeCell ref="D6:D7"/>
  </mergeCells>
  <phoneticPr fontId="6" type="noConversion"/>
  <pageMargins left="1.0236111111111112" right="1.575" top="1.1416666666666666" bottom="0.23611111111111113" header="0.51180555555555562" footer="0.51180555555555562"/>
  <pageSetup paperSize="9" scale="69" firstPageNumber="0" orientation="landscape" r:id="rId1"/>
  <headerFooter alignWithMargins="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T88"/>
  <sheetViews>
    <sheetView tabSelected="1" topLeftCell="A40" workbookViewId="0">
      <pane xSplit="4" topLeftCell="I1" activePane="topRight" state="frozen"/>
      <selection pane="topRight" activeCell="M86" sqref="M86"/>
    </sheetView>
  </sheetViews>
  <sheetFormatPr baseColWidth="10" defaultColWidth="8.85546875" defaultRowHeight="12.75" x14ac:dyDescent="0.2"/>
  <cols>
    <col min="1" max="1" width="7.140625" customWidth="1"/>
    <col min="2" max="2" width="6.42578125" customWidth="1"/>
    <col min="3" max="3" width="6.140625" customWidth="1"/>
    <col min="4" max="4" width="34.85546875" customWidth="1"/>
    <col min="7" max="7" width="8.85546875" style="227" customWidth="1"/>
    <col min="8" max="8" width="13.140625" style="171" customWidth="1"/>
    <col min="9" max="10" width="9.140625" style="171"/>
    <col min="11" max="11" width="16.42578125" customWidth="1"/>
    <col min="12" max="12" width="16.42578125" style="171" customWidth="1"/>
    <col min="13" max="13" width="16" style="171" customWidth="1"/>
    <col min="14" max="14" width="18.42578125" style="171" customWidth="1"/>
    <col min="15" max="15" width="17.7109375" style="171" customWidth="1"/>
    <col min="17" max="17" width="13.85546875" customWidth="1"/>
    <col min="20" max="20" width="10.140625" bestFit="1" customWidth="1"/>
  </cols>
  <sheetData>
    <row r="5" spans="1:17" s="207" customFormat="1" x14ac:dyDescent="0.2">
      <c r="A5" s="202" t="s">
        <v>274</v>
      </c>
      <c r="B5" s="178"/>
      <c r="C5" s="203"/>
      <c r="D5" s="203"/>
      <c r="E5" s="178"/>
      <c r="F5" s="203"/>
      <c r="G5" s="205"/>
      <c r="H5" s="205"/>
      <c r="I5" s="205"/>
      <c r="J5" s="205"/>
      <c r="K5" s="205"/>
      <c r="L5" s="205"/>
      <c r="M5" s="205"/>
      <c r="N5" s="205"/>
      <c r="O5" s="205"/>
      <c r="P5" s="206"/>
      <c r="Q5" s="206"/>
    </row>
    <row r="6" spans="1:17" s="207" customFormat="1" x14ac:dyDescent="0.2">
      <c r="A6" s="208" t="s">
        <v>112</v>
      </c>
      <c r="B6" s="178"/>
      <c r="C6" s="203"/>
      <c r="D6" s="203"/>
      <c r="E6" s="178"/>
      <c r="F6" s="203"/>
      <c r="G6" s="205"/>
      <c r="H6" s="205"/>
      <c r="I6" s="205"/>
      <c r="J6" s="205"/>
      <c r="K6" s="205"/>
      <c r="L6" s="205"/>
      <c r="M6" s="205"/>
      <c r="N6" s="205"/>
      <c r="O6" s="205"/>
      <c r="P6" s="206"/>
      <c r="Q6" s="206"/>
    </row>
    <row r="7" spans="1:17" s="207" customFormat="1" x14ac:dyDescent="0.2">
      <c r="A7" s="208"/>
      <c r="B7" s="178"/>
      <c r="C7" s="203"/>
      <c r="D7" s="203"/>
      <c r="E7" s="178"/>
      <c r="F7" s="203"/>
      <c r="G7" s="205"/>
      <c r="H7" s="205"/>
      <c r="I7" s="205"/>
      <c r="J7" s="205"/>
      <c r="K7" s="205"/>
      <c r="L7" s="205"/>
      <c r="M7" s="205"/>
      <c r="N7" s="205"/>
      <c r="O7" s="205"/>
      <c r="P7" s="206"/>
      <c r="Q7" s="206"/>
    </row>
    <row r="8" spans="1:17" s="207" customFormat="1" x14ac:dyDescent="0.2">
      <c r="A8" s="208"/>
      <c r="B8" s="178"/>
      <c r="C8" s="203"/>
      <c r="D8" s="203"/>
      <c r="E8" s="178"/>
      <c r="F8" s="203"/>
      <c r="G8" s="205"/>
      <c r="H8" s="205"/>
      <c r="I8" s="205"/>
      <c r="J8" s="205"/>
      <c r="K8" s="205"/>
      <c r="L8" s="205"/>
      <c r="M8" s="205"/>
      <c r="N8" s="205"/>
      <c r="O8" s="205"/>
      <c r="P8" s="206"/>
      <c r="Q8" s="206"/>
    </row>
    <row r="9" spans="1:17" s="207" customFormat="1" x14ac:dyDescent="0.2">
      <c r="A9" s="177" t="s">
        <v>19</v>
      </c>
      <c r="B9" s="178" t="s">
        <v>113</v>
      </c>
      <c r="C9" s="203" t="s">
        <v>114</v>
      </c>
      <c r="D9" s="178" t="s">
        <v>115</v>
      </c>
      <c r="E9" s="178"/>
      <c r="F9" s="178" t="s">
        <v>116</v>
      </c>
      <c r="G9" s="179" t="s">
        <v>117</v>
      </c>
      <c r="H9" s="205"/>
      <c r="I9" s="205"/>
      <c r="J9" s="179" t="s">
        <v>114</v>
      </c>
      <c r="K9" s="179" t="s">
        <v>3</v>
      </c>
      <c r="L9" s="205"/>
      <c r="M9" s="205"/>
      <c r="N9" s="205" t="s">
        <v>231</v>
      </c>
      <c r="O9" s="205" t="s">
        <v>257</v>
      </c>
      <c r="P9" s="180" t="s">
        <v>3</v>
      </c>
      <c r="Q9" s="180" t="s">
        <v>3</v>
      </c>
    </row>
    <row r="10" spans="1:17" s="207" customFormat="1" x14ac:dyDescent="0.2">
      <c r="A10" s="177" t="s">
        <v>205</v>
      </c>
      <c r="B10" s="178" t="s">
        <v>118</v>
      </c>
      <c r="C10" s="178" t="s">
        <v>119</v>
      </c>
      <c r="D10" s="178" t="s">
        <v>120</v>
      </c>
      <c r="E10" s="178" t="s">
        <v>121</v>
      </c>
      <c r="F10" s="178" t="s">
        <v>119</v>
      </c>
      <c r="G10" s="179" t="s">
        <v>122</v>
      </c>
      <c r="H10" s="179" t="s">
        <v>123</v>
      </c>
      <c r="I10" s="179" t="s">
        <v>124</v>
      </c>
      <c r="J10" s="179" t="s">
        <v>125</v>
      </c>
      <c r="K10" s="179" t="s">
        <v>126</v>
      </c>
      <c r="L10" s="179" t="s">
        <v>259</v>
      </c>
      <c r="M10" s="179" t="s">
        <v>261</v>
      </c>
      <c r="N10" s="179" t="s">
        <v>232</v>
      </c>
      <c r="O10" s="179" t="s">
        <v>258</v>
      </c>
      <c r="P10" s="180" t="s">
        <v>128</v>
      </c>
      <c r="Q10" s="180" t="s">
        <v>129</v>
      </c>
    </row>
    <row r="11" spans="1:17" s="207" customFormat="1" x14ac:dyDescent="0.2">
      <c r="A11" s="177"/>
      <c r="B11" s="178"/>
      <c r="C11" s="178"/>
      <c r="D11" s="178"/>
      <c r="E11" s="178"/>
      <c r="F11" s="178"/>
      <c r="G11" s="179"/>
      <c r="H11" s="179"/>
      <c r="I11" s="179"/>
      <c r="J11" s="179"/>
      <c r="K11" s="179"/>
      <c r="L11" s="179"/>
      <c r="M11" s="179"/>
      <c r="N11" s="179"/>
      <c r="O11" s="179"/>
      <c r="P11" s="180"/>
      <c r="Q11" s="180"/>
    </row>
    <row r="12" spans="1:17" s="207" customFormat="1" x14ac:dyDescent="0.2">
      <c r="A12" s="208">
        <v>3200</v>
      </c>
      <c r="B12" s="209" t="s">
        <v>132</v>
      </c>
      <c r="C12" s="178"/>
      <c r="D12" s="210" t="s">
        <v>130</v>
      </c>
      <c r="E12" s="178" t="s">
        <v>149</v>
      </c>
      <c r="F12" s="211"/>
      <c r="G12" s="205">
        <v>37.5</v>
      </c>
      <c r="H12" s="205">
        <v>0</v>
      </c>
      <c r="I12" s="205">
        <v>0</v>
      </c>
      <c r="J12" s="205">
        <v>0</v>
      </c>
      <c r="K12" s="205">
        <v>1</v>
      </c>
      <c r="L12" s="205">
        <v>0</v>
      </c>
      <c r="M12" s="205">
        <v>0</v>
      </c>
      <c r="N12" s="205"/>
      <c r="O12" s="205">
        <f>SUM(L12:L12)</f>
        <v>0</v>
      </c>
      <c r="P12" s="206"/>
      <c r="Q12" s="206">
        <f>(K12+P12)</f>
        <v>1</v>
      </c>
    </row>
    <row r="13" spans="1:17" s="207" customFormat="1" x14ac:dyDescent="0.2">
      <c r="A13" s="208"/>
      <c r="B13" s="178"/>
      <c r="C13" s="178"/>
      <c r="D13" s="203"/>
      <c r="E13" s="178"/>
      <c r="F13" s="211"/>
      <c r="G13" s="205"/>
      <c r="H13" s="205"/>
      <c r="I13" s="205"/>
      <c r="J13" s="205"/>
      <c r="K13" s="205"/>
      <c r="L13" s="205"/>
      <c r="M13" s="205"/>
      <c r="N13" s="205"/>
      <c r="O13" s="205"/>
      <c r="P13" s="206"/>
    </row>
    <row r="14" spans="1:17" s="207" customFormat="1" x14ac:dyDescent="0.2">
      <c r="A14" s="208"/>
      <c r="B14" s="178"/>
      <c r="C14" s="178"/>
      <c r="D14" s="203" t="s">
        <v>131</v>
      </c>
      <c r="E14" s="178"/>
      <c r="F14" s="211"/>
      <c r="G14" s="205"/>
      <c r="H14" s="205"/>
      <c r="I14" s="205"/>
      <c r="J14" s="205"/>
      <c r="K14" s="205"/>
      <c r="L14" s="205"/>
      <c r="M14" s="205"/>
      <c r="N14" s="205"/>
      <c r="O14" s="205"/>
      <c r="P14" s="206">
        <f>SUM(P12:P13)</f>
        <v>0</v>
      </c>
      <c r="Q14" s="206">
        <f>SUM(Q9:Q13)</f>
        <v>1</v>
      </c>
    </row>
    <row r="15" spans="1:17" s="207" customFormat="1" x14ac:dyDescent="0.2">
      <c r="A15" s="208"/>
      <c r="B15" s="178"/>
      <c r="C15" s="203"/>
      <c r="D15" s="203"/>
      <c r="E15" s="178"/>
      <c r="F15" s="203"/>
      <c r="G15" s="205"/>
      <c r="H15" s="205"/>
      <c r="I15" s="205"/>
      <c r="J15" s="205"/>
      <c r="K15" s="205"/>
      <c r="L15" s="205"/>
      <c r="M15" s="205"/>
      <c r="N15" s="205"/>
      <c r="O15" s="205"/>
      <c r="P15" s="206"/>
      <c r="Q15" s="206"/>
    </row>
    <row r="16" spans="1:17" s="217" customFormat="1" x14ac:dyDescent="0.2">
      <c r="A16" s="216">
        <v>3200</v>
      </c>
      <c r="B16" s="209" t="s">
        <v>132</v>
      </c>
      <c r="C16" s="209"/>
      <c r="D16" s="211" t="s">
        <v>260</v>
      </c>
      <c r="E16" s="209" t="s">
        <v>146</v>
      </c>
      <c r="F16" s="211">
        <v>5</v>
      </c>
      <c r="G16" s="205">
        <v>37.5</v>
      </c>
      <c r="H16" s="229">
        <f>(33947.34*5%)+33947.34</f>
        <v>35644.706999999995</v>
      </c>
      <c r="I16" s="205">
        <f>544.24*5</f>
        <v>2721.2</v>
      </c>
      <c r="J16" s="205">
        <v>0</v>
      </c>
      <c r="K16" s="205">
        <f>SUM(H16:J16)</f>
        <v>38365.906999999992</v>
      </c>
      <c r="L16" s="205">
        <f>(H16*0.1)</f>
        <v>3564.4706999999999</v>
      </c>
      <c r="M16" s="205">
        <f>(617.56*14)</f>
        <v>8645.84</v>
      </c>
      <c r="N16" s="205">
        <f>(2324.12*5%)+2324.12</f>
        <v>2440.326</v>
      </c>
      <c r="O16" s="205">
        <v>900</v>
      </c>
      <c r="P16" s="205">
        <f>SUM(L16:O16)</f>
        <v>15550.636699999999</v>
      </c>
      <c r="Q16" s="205">
        <f>(K16+P16)</f>
        <v>53916.543699999995</v>
      </c>
    </row>
    <row r="17" spans="1:17" s="221" customFormat="1" x14ac:dyDescent="0.2">
      <c r="A17" s="216">
        <v>3200</v>
      </c>
      <c r="B17" s="209" t="s">
        <v>132</v>
      </c>
      <c r="C17" s="209"/>
      <c r="D17" s="211" t="s">
        <v>260</v>
      </c>
      <c r="E17" s="209" t="s">
        <v>146</v>
      </c>
      <c r="F17" s="211">
        <v>2</v>
      </c>
      <c r="G17" s="205">
        <v>37.5</v>
      </c>
      <c r="H17" s="229">
        <f>(33947.34*5%)+33947.34</f>
        <v>35644.706999999995</v>
      </c>
      <c r="I17" s="205">
        <f>544.24*2</f>
        <v>1088.48</v>
      </c>
      <c r="J17" s="205">
        <v>69.92</v>
      </c>
      <c r="K17" s="205">
        <f>SUM(H17:J17)</f>
        <v>36803.106999999996</v>
      </c>
      <c r="L17" s="205">
        <f>(H17*0.1)</f>
        <v>3564.4706999999999</v>
      </c>
      <c r="M17" s="205"/>
      <c r="N17" s="205">
        <f t="shared" ref="N17:N19" si="0">(2324.12*5%)+2324.12</f>
        <v>2440.326</v>
      </c>
      <c r="O17" s="205">
        <v>900</v>
      </c>
      <c r="P17" s="205">
        <f>SUM(L17:O17)</f>
        <v>6904.7966999999999</v>
      </c>
      <c r="Q17" s="205">
        <f>(K17+P17)</f>
        <v>43707.903699999995</v>
      </c>
    </row>
    <row r="18" spans="1:17" s="217" customFormat="1" x14ac:dyDescent="0.2">
      <c r="A18" s="216">
        <v>3200</v>
      </c>
      <c r="B18" s="209" t="s">
        <v>132</v>
      </c>
      <c r="C18" s="209"/>
      <c r="D18" s="211" t="s">
        <v>226</v>
      </c>
      <c r="E18" s="209" t="s">
        <v>147</v>
      </c>
      <c r="F18" s="211">
        <v>11</v>
      </c>
      <c r="G18" s="205">
        <v>37.5</v>
      </c>
      <c r="H18" s="229">
        <f>(25518.5*5%)+25518.5</f>
        <v>26794.424999999999</v>
      </c>
      <c r="I18" s="205">
        <f>(420.18*11)</f>
        <v>4621.9800000000005</v>
      </c>
      <c r="J18" s="205">
        <v>148.87</v>
      </c>
      <c r="K18" s="205">
        <f>SUM(H18:J18)</f>
        <v>31565.274999999998</v>
      </c>
      <c r="L18" s="205">
        <f>(H18*0.1)</f>
        <v>2679.4425000000001</v>
      </c>
      <c r="M18" s="205"/>
      <c r="N18" s="205">
        <f t="shared" si="0"/>
        <v>2440.326</v>
      </c>
      <c r="O18" s="205">
        <v>800</v>
      </c>
      <c r="P18" s="205">
        <f t="shared" ref="P18:P19" si="1">SUM(L18:O18)</f>
        <v>5919.7685000000001</v>
      </c>
      <c r="Q18" s="205">
        <f>K18+P18</f>
        <v>37485.0435</v>
      </c>
    </row>
    <row r="19" spans="1:17" s="217" customFormat="1" x14ac:dyDescent="0.2">
      <c r="A19" s="216">
        <v>3200</v>
      </c>
      <c r="B19" s="209" t="s">
        <v>132</v>
      </c>
      <c r="C19" s="209"/>
      <c r="D19" s="211" t="s">
        <v>133</v>
      </c>
      <c r="E19" s="209" t="s">
        <v>148</v>
      </c>
      <c r="F19" s="211">
        <v>5</v>
      </c>
      <c r="G19" s="205">
        <v>37.5</v>
      </c>
      <c r="H19" s="229">
        <f>(20105.4*5%)+20105.4</f>
        <v>21110.670000000002</v>
      </c>
      <c r="I19" s="205">
        <f>(291.2*5)</f>
        <v>1456</v>
      </c>
      <c r="J19" s="205">
        <v>0</v>
      </c>
      <c r="K19" s="205">
        <f>SUM(H19:J19)</f>
        <v>22566.670000000002</v>
      </c>
      <c r="L19" s="205">
        <f>(H19*0.05)</f>
        <v>1055.5335000000002</v>
      </c>
      <c r="M19" s="205"/>
      <c r="N19" s="205">
        <f t="shared" si="0"/>
        <v>2440.326</v>
      </c>
      <c r="O19" s="205">
        <v>700</v>
      </c>
      <c r="P19" s="205">
        <f t="shared" si="1"/>
        <v>4195.8595000000005</v>
      </c>
      <c r="Q19" s="205">
        <f>K19+P19</f>
        <v>26762.529500000004</v>
      </c>
    </row>
    <row r="20" spans="1:17" s="217" customFormat="1" x14ac:dyDescent="0.2">
      <c r="A20" s="216"/>
      <c r="B20" s="209"/>
      <c r="C20" s="209"/>
      <c r="D20" s="211"/>
      <c r="E20" s="209"/>
      <c r="F20" s="211"/>
      <c r="G20" s="205"/>
      <c r="H20" s="205"/>
      <c r="I20" s="205"/>
      <c r="J20" s="205"/>
      <c r="K20" s="205"/>
      <c r="L20" s="205"/>
      <c r="M20" s="205"/>
      <c r="N20" s="205"/>
      <c r="O20" s="205"/>
      <c r="P20" s="205"/>
      <c r="Q20" s="205"/>
    </row>
    <row r="21" spans="1:17" s="217" customFormat="1" x14ac:dyDescent="0.2">
      <c r="A21" s="216"/>
      <c r="B21" s="209"/>
      <c r="C21" s="209"/>
      <c r="D21" s="211" t="s">
        <v>233</v>
      </c>
      <c r="E21" s="209"/>
      <c r="F21" s="211"/>
      <c r="G21" s="205"/>
      <c r="H21" s="205"/>
      <c r="I21" s="205"/>
      <c r="J21" s="205"/>
      <c r="K21" s="205"/>
      <c r="L21" s="205"/>
      <c r="M21" s="205"/>
      <c r="N21" s="205"/>
      <c r="O21" s="205"/>
      <c r="P21" s="205"/>
      <c r="Q21" s="205">
        <f>SUM(Q16:Q20)</f>
        <v>161872.02039999998</v>
      </c>
    </row>
    <row r="22" spans="1:17" s="217" customFormat="1" x14ac:dyDescent="0.2">
      <c r="A22" s="216"/>
      <c r="B22" s="209"/>
      <c r="C22" s="209"/>
      <c r="D22" s="211"/>
      <c r="E22" s="209"/>
      <c r="F22" s="211"/>
      <c r="G22" s="205"/>
      <c r="H22" s="205"/>
      <c r="I22" s="205"/>
      <c r="J22" s="205"/>
      <c r="K22" s="205"/>
      <c r="L22" s="205"/>
      <c r="M22" s="205"/>
      <c r="N22" s="205"/>
      <c r="O22" s="205"/>
      <c r="P22" s="205"/>
      <c r="Q22" s="205"/>
    </row>
    <row r="23" spans="1:17" s="217" customFormat="1" x14ac:dyDescent="0.2">
      <c r="A23" s="216"/>
      <c r="B23" s="213"/>
      <c r="C23" s="213"/>
      <c r="D23" s="214" t="s">
        <v>234</v>
      </c>
      <c r="E23" s="213"/>
      <c r="F23" s="214"/>
      <c r="G23" s="215"/>
      <c r="H23" s="215"/>
      <c r="I23" s="215"/>
      <c r="J23" s="215"/>
      <c r="K23" s="215"/>
      <c r="L23" s="215"/>
      <c r="M23" s="215"/>
      <c r="N23" s="215"/>
      <c r="O23" s="215"/>
      <c r="P23" s="215"/>
      <c r="Q23" s="215">
        <f>SUM(Q21)</f>
        <v>161872.02039999998</v>
      </c>
    </row>
    <row r="24" spans="1:17" s="217" customFormat="1" x14ac:dyDescent="0.2">
      <c r="A24" s="216"/>
      <c r="B24" s="209"/>
      <c r="C24" s="209"/>
      <c r="D24" s="211"/>
      <c r="E24" s="209"/>
      <c r="F24" s="211"/>
      <c r="G24" s="205"/>
      <c r="H24" s="205"/>
      <c r="I24" s="205"/>
      <c r="J24" s="205"/>
      <c r="K24" s="205"/>
      <c r="L24" s="205"/>
      <c r="M24" s="205"/>
      <c r="N24" s="205" t="s">
        <v>267</v>
      </c>
      <c r="O24" s="205" t="s">
        <v>267</v>
      </c>
      <c r="P24" s="205"/>
      <c r="Q24" s="205"/>
    </row>
    <row r="25" spans="1:17" s="217" customFormat="1" x14ac:dyDescent="0.2">
      <c r="A25" s="216"/>
      <c r="B25" s="209"/>
      <c r="C25" s="209"/>
      <c r="D25" s="211"/>
      <c r="E25" s="209"/>
      <c r="F25" s="211"/>
      <c r="G25" s="205"/>
      <c r="H25" s="205"/>
      <c r="I25" s="205"/>
      <c r="J25" s="205"/>
      <c r="K25" s="205"/>
      <c r="L25" s="205"/>
      <c r="M25" s="205"/>
      <c r="N25" s="205" t="s">
        <v>265</v>
      </c>
      <c r="O25" s="205" t="s">
        <v>265</v>
      </c>
      <c r="P25" s="205"/>
      <c r="Q25" s="205"/>
    </row>
    <row r="26" spans="1:17" s="217" customFormat="1" x14ac:dyDescent="0.2">
      <c r="A26" s="216">
        <v>3230</v>
      </c>
      <c r="B26" s="209" t="s">
        <v>132</v>
      </c>
      <c r="C26" s="209"/>
      <c r="D26" s="211" t="s">
        <v>134</v>
      </c>
      <c r="E26" s="209" t="s">
        <v>146</v>
      </c>
      <c r="F26" s="211">
        <v>5</v>
      </c>
      <c r="G26" s="205">
        <v>37.5</v>
      </c>
      <c r="H26" s="229">
        <f>(27990.34*5%)+27990.34</f>
        <v>29389.857</v>
      </c>
      <c r="I26" s="205">
        <f>(544.24*5)</f>
        <v>2721.2</v>
      </c>
      <c r="J26" s="205">
        <v>0</v>
      </c>
      <c r="K26" s="205">
        <f>SUM(H26:J26)</f>
        <v>32111.057000000001</v>
      </c>
      <c r="L26" s="205">
        <v>0</v>
      </c>
      <c r="M26" s="205"/>
      <c r="N26" s="205">
        <f>(2324.12*5%)+2324.12</f>
        <v>2440.326</v>
      </c>
      <c r="O26" s="205">
        <v>900</v>
      </c>
      <c r="P26" s="205">
        <f t="shared" ref="P26:P34" si="2">SUM(L26:O26)</f>
        <v>3340.326</v>
      </c>
      <c r="Q26" s="205">
        <f t="shared" ref="Q26:Q54" si="3">(K26+P26)</f>
        <v>35451.383000000002</v>
      </c>
    </row>
    <row r="27" spans="1:17" s="217" customFormat="1" x14ac:dyDescent="0.2">
      <c r="A27" s="216">
        <v>3230</v>
      </c>
      <c r="B27" s="209" t="s">
        <v>132</v>
      </c>
      <c r="C27" s="209"/>
      <c r="D27" s="211" t="s">
        <v>134</v>
      </c>
      <c r="E27" s="209" t="s">
        <v>146</v>
      </c>
      <c r="F27" s="211">
        <v>7</v>
      </c>
      <c r="G27" s="205">
        <v>37.5</v>
      </c>
      <c r="H27" s="229">
        <f t="shared" ref="H27:H45" si="4">(27990.34*5%)+27990.34</f>
        <v>29389.857</v>
      </c>
      <c r="I27" s="205">
        <f>(544.24*7)</f>
        <v>3809.6800000000003</v>
      </c>
      <c r="J27" s="205">
        <v>0</v>
      </c>
      <c r="K27" s="205">
        <f t="shared" ref="K27:K54" si="5">SUM(H27:J27)</f>
        <v>33199.536999999997</v>
      </c>
      <c r="L27" s="205">
        <v>0</v>
      </c>
      <c r="M27" s="205">
        <f>(563.91*14)</f>
        <v>7894.74</v>
      </c>
      <c r="N27" s="205">
        <f t="shared" ref="N27:N54" si="6">(2324.12*5%)+2324.12</f>
        <v>2440.326</v>
      </c>
      <c r="O27" s="205">
        <v>900</v>
      </c>
      <c r="P27" s="205">
        <f t="shared" si="2"/>
        <v>11235.065999999999</v>
      </c>
      <c r="Q27" s="205">
        <f t="shared" si="3"/>
        <v>44434.602999999996</v>
      </c>
    </row>
    <row r="28" spans="1:17" s="217" customFormat="1" x14ac:dyDescent="0.2">
      <c r="A28" s="216">
        <v>3230</v>
      </c>
      <c r="B28" s="209" t="s">
        <v>132</v>
      </c>
      <c r="C28" s="209"/>
      <c r="D28" s="211" t="s">
        <v>134</v>
      </c>
      <c r="E28" s="209" t="s">
        <v>146</v>
      </c>
      <c r="F28" s="211">
        <v>8</v>
      </c>
      <c r="G28" s="205">
        <v>37.5</v>
      </c>
      <c r="H28" s="229">
        <f t="shared" si="4"/>
        <v>29389.857</v>
      </c>
      <c r="I28" s="205">
        <f>(544.24*8)</f>
        <v>4353.92</v>
      </c>
      <c r="J28" s="205">
        <v>0</v>
      </c>
      <c r="K28" s="205">
        <f t="shared" si="5"/>
        <v>33743.777000000002</v>
      </c>
      <c r="L28" s="205">
        <v>0</v>
      </c>
      <c r="M28" s="205"/>
      <c r="N28" s="205">
        <f t="shared" si="6"/>
        <v>2440.326</v>
      </c>
      <c r="O28" s="205">
        <v>900</v>
      </c>
      <c r="P28" s="205">
        <f t="shared" si="2"/>
        <v>3340.326</v>
      </c>
      <c r="Q28" s="205">
        <f t="shared" si="3"/>
        <v>37084.103000000003</v>
      </c>
    </row>
    <row r="29" spans="1:17" s="217" customFormat="1" x14ac:dyDescent="0.2">
      <c r="A29" s="216">
        <v>3230</v>
      </c>
      <c r="B29" s="209" t="s">
        <v>132</v>
      </c>
      <c r="C29" s="209"/>
      <c r="D29" s="211" t="s">
        <v>134</v>
      </c>
      <c r="E29" s="209" t="s">
        <v>146</v>
      </c>
      <c r="F29" s="211">
        <v>6</v>
      </c>
      <c r="G29" s="205">
        <v>37.5</v>
      </c>
      <c r="H29" s="229">
        <f t="shared" si="4"/>
        <v>29389.857</v>
      </c>
      <c r="I29" s="205">
        <f>(544.24*6)</f>
        <v>3265.44</v>
      </c>
      <c r="J29" s="205">
        <v>0</v>
      </c>
      <c r="K29" s="205">
        <f t="shared" si="5"/>
        <v>32655.296999999999</v>
      </c>
      <c r="L29" s="205">
        <v>0</v>
      </c>
      <c r="M29" s="205"/>
      <c r="N29" s="205">
        <f t="shared" si="6"/>
        <v>2440.326</v>
      </c>
      <c r="O29" s="205">
        <v>900</v>
      </c>
      <c r="P29" s="205">
        <f t="shared" si="2"/>
        <v>3340.326</v>
      </c>
      <c r="Q29" s="205">
        <f t="shared" si="3"/>
        <v>35995.623</v>
      </c>
    </row>
    <row r="30" spans="1:17" s="217" customFormat="1" x14ac:dyDescent="0.2">
      <c r="A30" s="216">
        <v>3230</v>
      </c>
      <c r="B30" s="209" t="s">
        <v>132</v>
      </c>
      <c r="C30" s="209"/>
      <c r="D30" s="211" t="s">
        <v>134</v>
      </c>
      <c r="E30" s="209" t="s">
        <v>146</v>
      </c>
      <c r="F30" s="211">
        <v>6</v>
      </c>
      <c r="G30" s="205">
        <v>37.5</v>
      </c>
      <c r="H30" s="229">
        <f t="shared" si="4"/>
        <v>29389.857</v>
      </c>
      <c r="I30" s="205">
        <f>(544.24*6)</f>
        <v>3265.44</v>
      </c>
      <c r="J30" s="205">
        <v>0</v>
      </c>
      <c r="K30" s="205">
        <f t="shared" si="5"/>
        <v>32655.296999999999</v>
      </c>
      <c r="L30" s="205">
        <v>0</v>
      </c>
      <c r="M30" s="205"/>
      <c r="N30" s="205">
        <f t="shared" si="6"/>
        <v>2440.326</v>
      </c>
      <c r="O30" s="205">
        <v>900</v>
      </c>
      <c r="P30" s="205">
        <f t="shared" si="2"/>
        <v>3340.326</v>
      </c>
      <c r="Q30" s="205">
        <f t="shared" si="3"/>
        <v>35995.623</v>
      </c>
    </row>
    <row r="31" spans="1:17" s="217" customFormat="1" x14ac:dyDescent="0.2">
      <c r="A31" s="216">
        <v>3230</v>
      </c>
      <c r="B31" s="209" t="s">
        <v>132</v>
      </c>
      <c r="C31" s="209"/>
      <c r="D31" s="211" t="s">
        <v>134</v>
      </c>
      <c r="E31" s="209" t="s">
        <v>146</v>
      </c>
      <c r="F31" s="211">
        <v>6</v>
      </c>
      <c r="G31" s="205">
        <v>37.5</v>
      </c>
      <c r="H31" s="229">
        <f t="shared" si="4"/>
        <v>29389.857</v>
      </c>
      <c r="I31" s="205">
        <f>(544.24*6)</f>
        <v>3265.44</v>
      </c>
      <c r="J31" s="205">
        <v>0</v>
      </c>
      <c r="K31" s="205">
        <f t="shared" si="5"/>
        <v>32655.296999999999</v>
      </c>
      <c r="L31" s="205">
        <v>0</v>
      </c>
      <c r="M31" s="205"/>
      <c r="N31" s="205">
        <f t="shared" si="6"/>
        <v>2440.326</v>
      </c>
      <c r="O31" s="205">
        <v>900</v>
      </c>
      <c r="P31" s="205">
        <f t="shared" si="2"/>
        <v>3340.326</v>
      </c>
      <c r="Q31" s="205">
        <f t="shared" si="3"/>
        <v>35995.623</v>
      </c>
    </row>
    <row r="32" spans="1:17" s="217" customFormat="1" x14ac:dyDescent="0.2">
      <c r="A32" s="216">
        <v>3230</v>
      </c>
      <c r="B32" s="209" t="s">
        <v>132</v>
      </c>
      <c r="C32" s="209"/>
      <c r="D32" s="211" t="s">
        <v>134</v>
      </c>
      <c r="E32" s="209" t="s">
        <v>146</v>
      </c>
      <c r="F32" s="211">
        <v>6</v>
      </c>
      <c r="G32" s="205">
        <v>37.5</v>
      </c>
      <c r="H32" s="229">
        <f t="shared" si="4"/>
        <v>29389.857</v>
      </c>
      <c r="I32" s="205">
        <f>(544.24*6)</f>
        <v>3265.44</v>
      </c>
      <c r="J32" s="205">
        <v>0</v>
      </c>
      <c r="K32" s="205">
        <f>SUM(H32:J32)</f>
        <v>32655.296999999999</v>
      </c>
      <c r="L32" s="205">
        <v>0</v>
      </c>
      <c r="M32" s="205"/>
      <c r="N32" s="205">
        <f t="shared" si="6"/>
        <v>2440.326</v>
      </c>
      <c r="O32" s="205">
        <v>900</v>
      </c>
      <c r="P32" s="205">
        <f t="shared" si="2"/>
        <v>3340.326</v>
      </c>
      <c r="Q32" s="205">
        <f t="shared" si="3"/>
        <v>35995.623</v>
      </c>
    </row>
    <row r="33" spans="1:17" s="217" customFormat="1" x14ac:dyDescent="0.2">
      <c r="A33" s="216">
        <v>3230</v>
      </c>
      <c r="B33" s="209" t="s">
        <v>132</v>
      </c>
      <c r="C33" s="209"/>
      <c r="D33" s="211" t="s">
        <v>134</v>
      </c>
      <c r="E33" s="209" t="s">
        <v>146</v>
      </c>
      <c r="F33" s="211">
        <v>6</v>
      </c>
      <c r="G33" s="205">
        <v>37.5</v>
      </c>
      <c r="H33" s="229">
        <f t="shared" si="4"/>
        <v>29389.857</v>
      </c>
      <c r="I33" s="205">
        <f>(544.24*6)</f>
        <v>3265.44</v>
      </c>
      <c r="J33" s="205">
        <v>0</v>
      </c>
      <c r="K33" s="205">
        <f t="shared" si="5"/>
        <v>32655.296999999999</v>
      </c>
      <c r="L33" s="205">
        <v>0</v>
      </c>
      <c r="M33" s="205"/>
      <c r="N33" s="205">
        <f t="shared" si="6"/>
        <v>2440.326</v>
      </c>
      <c r="O33" s="205">
        <v>900</v>
      </c>
      <c r="P33" s="205">
        <f t="shared" si="2"/>
        <v>3340.326</v>
      </c>
      <c r="Q33" s="205">
        <f t="shared" si="3"/>
        <v>35995.623</v>
      </c>
    </row>
    <row r="34" spans="1:17" s="217" customFormat="1" x14ac:dyDescent="0.2">
      <c r="A34" s="216">
        <v>3230</v>
      </c>
      <c r="B34" s="209" t="s">
        <v>132</v>
      </c>
      <c r="C34" s="209"/>
      <c r="D34" s="211" t="s">
        <v>134</v>
      </c>
      <c r="E34" s="209" t="s">
        <v>146</v>
      </c>
      <c r="F34" s="211">
        <v>4</v>
      </c>
      <c r="G34" s="205">
        <v>37.5</v>
      </c>
      <c r="H34" s="229">
        <f t="shared" si="4"/>
        <v>29389.857</v>
      </c>
      <c r="I34" s="205">
        <f>(544.24*4)</f>
        <v>2176.96</v>
      </c>
      <c r="J34" s="205">
        <v>0</v>
      </c>
      <c r="K34" s="205">
        <f t="shared" si="5"/>
        <v>31566.816999999999</v>
      </c>
      <c r="L34" s="205">
        <v>0</v>
      </c>
      <c r="M34" s="205"/>
      <c r="N34" s="205">
        <f t="shared" si="6"/>
        <v>2440.326</v>
      </c>
      <c r="O34" s="205">
        <v>900</v>
      </c>
      <c r="P34" s="205">
        <f t="shared" si="2"/>
        <v>3340.326</v>
      </c>
      <c r="Q34" s="205">
        <f t="shared" si="3"/>
        <v>34907.142999999996</v>
      </c>
    </row>
    <row r="35" spans="1:17" s="217" customFormat="1" x14ac:dyDescent="0.2">
      <c r="A35" s="216">
        <v>3230</v>
      </c>
      <c r="B35" s="209" t="s">
        <v>132</v>
      </c>
      <c r="C35" s="209"/>
      <c r="D35" s="211" t="s">
        <v>134</v>
      </c>
      <c r="E35" s="209" t="s">
        <v>146</v>
      </c>
      <c r="F35" s="211">
        <v>6</v>
      </c>
      <c r="G35" s="205">
        <v>37.5</v>
      </c>
      <c r="H35" s="229">
        <f t="shared" si="4"/>
        <v>29389.857</v>
      </c>
      <c r="I35" s="205">
        <f>(544.24*6)</f>
        <v>3265.44</v>
      </c>
      <c r="J35" s="205">
        <v>0</v>
      </c>
      <c r="K35" s="205">
        <f t="shared" si="5"/>
        <v>32655.296999999999</v>
      </c>
      <c r="L35" s="205">
        <v>0</v>
      </c>
      <c r="M35" s="205"/>
      <c r="N35" s="205">
        <f t="shared" si="6"/>
        <v>2440.326</v>
      </c>
      <c r="O35" s="205">
        <v>900</v>
      </c>
      <c r="P35" s="205">
        <f>SUM(L35:O35)</f>
        <v>3340.326</v>
      </c>
      <c r="Q35" s="205">
        <f t="shared" si="3"/>
        <v>35995.623</v>
      </c>
    </row>
    <row r="36" spans="1:17" s="217" customFormat="1" x14ac:dyDescent="0.2">
      <c r="A36" s="216">
        <v>3230</v>
      </c>
      <c r="B36" s="209" t="s">
        <v>132</v>
      </c>
      <c r="C36" s="209"/>
      <c r="D36" s="211" t="s">
        <v>134</v>
      </c>
      <c r="E36" s="209" t="s">
        <v>146</v>
      </c>
      <c r="F36" s="211">
        <v>5</v>
      </c>
      <c r="G36" s="205">
        <v>37.5</v>
      </c>
      <c r="H36" s="229">
        <f t="shared" si="4"/>
        <v>29389.857</v>
      </c>
      <c r="I36" s="205">
        <f>(544.24*5)</f>
        <v>2721.2</v>
      </c>
      <c r="J36" s="205">
        <v>0</v>
      </c>
      <c r="K36" s="205">
        <f t="shared" si="5"/>
        <v>32111.057000000001</v>
      </c>
      <c r="L36" s="205">
        <v>0</v>
      </c>
      <c r="M36" s="205"/>
      <c r="N36" s="205">
        <f t="shared" si="6"/>
        <v>2440.326</v>
      </c>
      <c r="O36" s="205">
        <v>900</v>
      </c>
      <c r="P36" s="205">
        <f>SUM(L36:O36)</f>
        <v>3340.326</v>
      </c>
      <c r="Q36" s="205">
        <f t="shared" si="3"/>
        <v>35451.383000000002</v>
      </c>
    </row>
    <row r="37" spans="1:17" s="217" customFormat="1" x14ac:dyDescent="0.2">
      <c r="A37" s="216">
        <v>3230</v>
      </c>
      <c r="B37" s="209" t="s">
        <v>132</v>
      </c>
      <c r="C37" s="209"/>
      <c r="D37" s="211" t="s">
        <v>134</v>
      </c>
      <c r="E37" s="209" t="s">
        <v>146</v>
      </c>
      <c r="F37" s="211">
        <v>5</v>
      </c>
      <c r="G37" s="205">
        <v>37.5</v>
      </c>
      <c r="H37" s="229">
        <f t="shared" si="4"/>
        <v>29389.857</v>
      </c>
      <c r="I37" s="205">
        <f>(544.24*5)</f>
        <v>2721.2</v>
      </c>
      <c r="J37" s="205">
        <v>0</v>
      </c>
      <c r="K37" s="205">
        <f t="shared" si="5"/>
        <v>32111.057000000001</v>
      </c>
      <c r="L37" s="205">
        <v>0</v>
      </c>
      <c r="M37" s="205"/>
      <c r="N37" s="205">
        <f t="shared" si="6"/>
        <v>2440.326</v>
      </c>
      <c r="O37" s="205">
        <v>900</v>
      </c>
      <c r="P37" s="205">
        <f t="shared" ref="P37:P54" si="7">SUM(L37:O37)</f>
        <v>3340.326</v>
      </c>
      <c r="Q37" s="205">
        <f t="shared" si="3"/>
        <v>35451.383000000002</v>
      </c>
    </row>
    <row r="38" spans="1:17" s="217" customFormat="1" x14ac:dyDescent="0.2">
      <c r="A38" s="216">
        <v>3230</v>
      </c>
      <c r="B38" s="209" t="s">
        <v>132</v>
      </c>
      <c r="C38" s="209"/>
      <c r="D38" s="211" t="s">
        <v>134</v>
      </c>
      <c r="E38" s="209" t="s">
        <v>146</v>
      </c>
      <c r="F38" s="211">
        <v>6</v>
      </c>
      <c r="G38" s="205">
        <v>37.5</v>
      </c>
      <c r="H38" s="229">
        <f t="shared" si="4"/>
        <v>29389.857</v>
      </c>
      <c r="I38" s="205">
        <f>(544.24*6)</f>
        <v>3265.44</v>
      </c>
      <c r="J38" s="205">
        <v>0</v>
      </c>
      <c r="K38" s="205">
        <f t="shared" si="5"/>
        <v>32655.296999999999</v>
      </c>
      <c r="L38" s="205">
        <v>0</v>
      </c>
      <c r="M38" s="205"/>
      <c r="N38" s="205">
        <f t="shared" si="6"/>
        <v>2440.326</v>
      </c>
      <c r="O38" s="205">
        <v>900</v>
      </c>
      <c r="P38" s="205">
        <f t="shared" si="7"/>
        <v>3340.326</v>
      </c>
      <c r="Q38" s="205">
        <f t="shared" si="3"/>
        <v>35995.623</v>
      </c>
    </row>
    <row r="39" spans="1:17" s="217" customFormat="1" x14ac:dyDescent="0.2">
      <c r="A39" s="216">
        <v>3230</v>
      </c>
      <c r="B39" s="209" t="s">
        <v>132</v>
      </c>
      <c r="C39" s="209"/>
      <c r="D39" s="211" t="s">
        <v>134</v>
      </c>
      <c r="E39" s="209" t="s">
        <v>146</v>
      </c>
      <c r="F39" s="211">
        <v>6</v>
      </c>
      <c r="G39" s="205">
        <v>37.5</v>
      </c>
      <c r="H39" s="229">
        <f t="shared" si="4"/>
        <v>29389.857</v>
      </c>
      <c r="I39" s="205">
        <f>(544.24*6)</f>
        <v>3265.44</v>
      </c>
      <c r="J39" s="205">
        <v>0</v>
      </c>
      <c r="K39" s="205">
        <f t="shared" si="5"/>
        <v>32655.296999999999</v>
      </c>
      <c r="L39" s="205">
        <v>0</v>
      </c>
      <c r="M39" s="205"/>
      <c r="N39" s="205">
        <f t="shared" si="6"/>
        <v>2440.326</v>
      </c>
      <c r="O39" s="205">
        <v>900</v>
      </c>
      <c r="P39" s="205">
        <f t="shared" si="7"/>
        <v>3340.326</v>
      </c>
      <c r="Q39" s="205">
        <f t="shared" si="3"/>
        <v>35995.623</v>
      </c>
    </row>
    <row r="40" spans="1:17" s="217" customFormat="1" x14ac:dyDescent="0.2">
      <c r="A40" s="216">
        <v>3230</v>
      </c>
      <c r="B40" s="209" t="s">
        <v>132</v>
      </c>
      <c r="C40" s="209"/>
      <c r="D40" s="211" t="s">
        <v>134</v>
      </c>
      <c r="E40" s="209" t="s">
        <v>146</v>
      </c>
      <c r="F40" s="211">
        <v>5</v>
      </c>
      <c r="G40" s="205">
        <v>37.5</v>
      </c>
      <c r="H40" s="229">
        <f t="shared" si="4"/>
        <v>29389.857</v>
      </c>
      <c r="I40" s="205">
        <f>(544.24*5)</f>
        <v>2721.2</v>
      </c>
      <c r="J40" s="205">
        <v>0</v>
      </c>
      <c r="K40" s="205">
        <f t="shared" si="5"/>
        <v>32111.057000000001</v>
      </c>
      <c r="L40" s="205">
        <v>0</v>
      </c>
      <c r="M40" s="205"/>
      <c r="N40" s="205">
        <f t="shared" si="6"/>
        <v>2440.326</v>
      </c>
      <c r="O40" s="205">
        <v>900</v>
      </c>
      <c r="P40" s="205">
        <f t="shared" si="7"/>
        <v>3340.326</v>
      </c>
      <c r="Q40" s="205">
        <f t="shared" si="3"/>
        <v>35451.383000000002</v>
      </c>
    </row>
    <row r="41" spans="1:17" s="217" customFormat="1" x14ac:dyDescent="0.2">
      <c r="A41" s="216">
        <v>3230</v>
      </c>
      <c r="B41" s="209" t="s">
        <v>132</v>
      </c>
      <c r="C41" s="209"/>
      <c r="D41" s="211" t="s">
        <v>134</v>
      </c>
      <c r="E41" s="209" t="s">
        <v>146</v>
      </c>
      <c r="F41" s="211">
        <v>6</v>
      </c>
      <c r="G41" s="205">
        <v>37.5</v>
      </c>
      <c r="H41" s="229">
        <f t="shared" si="4"/>
        <v>29389.857</v>
      </c>
      <c r="I41" s="205">
        <f>(544.24*6)</f>
        <v>3265.44</v>
      </c>
      <c r="J41" s="205">
        <v>0</v>
      </c>
      <c r="K41" s="205">
        <f t="shared" si="5"/>
        <v>32655.296999999999</v>
      </c>
      <c r="L41" s="205">
        <v>0</v>
      </c>
      <c r="M41" s="205"/>
      <c r="N41" s="205">
        <f t="shared" si="6"/>
        <v>2440.326</v>
      </c>
      <c r="O41" s="205">
        <v>900</v>
      </c>
      <c r="P41" s="205">
        <f t="shared" si="7"/>
        <v>3340.326</v>
      </c>
      <c r="Q41" s="205">
        <f t="shared" si="3"/>
        <v>35995.623</v>
      </c>
    </row>
    <row r="42" spans="1:17" s="217" customFormat="1" x14ac:dyDescent="0.2">
      <c r="A42" s="216">
        <v>3230</v>
      </c>
      <c r="B42" s="209" t="s">
        <v>132</v>
      </c>
      <c r="C42" s="209"/>
      <c r="D42" s="211" t="s">
        <v>134</v>
      </c>
      <c r="E42" s="209" t="s">
        <v>146</v>
      </c>
      <c r="F42" s="211">
        <v>5</v>
      </c>
      <c r="G42" s="205">
        <v>37.5</v>
      </c>
      <c r="H42" s="229">
        <f t="shared" si="4"/>
        <v>29389.857</v>
      </c>
      <c r="I42" s="205">
        <f>(544.24*5)</f>
        <v>2721.2</v>
      </c>
      <c r="J42" s="205">
        <v>0</v>
      </c>
      <c r="K42" s="205">
        <f t="shared" si="5"/>
        <v>32111.057000000001</v>
      </c>
      <c r="L42" s="205">
        <v>0</v>
      </c>
      <c r="M42" s="205">
        <f>(563.91*14)</f>
        <v>7894.74</v>
      </c>
      <c r="N42" s="205">
        <f t="shared" si="6"/>
        <v>2440.326</v>
      </c>
      <c r="O42" s="205">
        <v>900</v>
      </c>
      <c r="P42" s="205">
        <f t="shared" si="7"/>
        <v>11235.065999999999</v>
      </c>
      <c r="Q42" s="205">
        <f t="shared" si="3"/>
        <v>43346.123</v>
      </c>
    </row>
    <row r="43" spans="1:17" s="217" customFormat="1" x14ac:dyDescent="0.2">
      <c r="A43" s="216">
        <v>3230</v>
      </c>
      <c r="B43" s="209" t="s">
        <v>132</v>
      </c>
      <c r="C43" s="209"/>
      <c r="D43" s="211" t="s">
        <v>134</v>
      </c>
      <c r="E43" s="209" t="s">
        <v>146</v>
      </c>
      <c r="F43" s="211">
        <v>7</v>
      </c>
      <c r="G43" s="205">
        <v>37.5</v>
      </c>
      <c r="H43" s="229">
        <f t="shared" si="4"/>
        <v>29389.857</v>
      </c>
      <c r="I43" s="205">
        <f>(544.24*7)</f>
        <v>3809.6800000000003</v>
      </c>
      <c r="J43" s="205">
        <v>0</v>
      </c>
      <c r="K43" s="205">
        <f t="shared" si="5"/>
        <v>33199.536999999997</v>
      </c>
      <c r="L43" s="205">
        <v>0</v>
      </c>
      <c r="M43" s="205">
        <f>(563.91*14)</f>
        <v>7894.74</v>
      </c>
      <c r="N43" s="205">
        <f t="shared" si="6"/>
        <v>2440.326</v>
      </c>
      <c r="O43" s="205">
        <v>900</v>
      </c>
      <c r="P43" s="205">
        <f t="shared" si="7"/>
        <v>11235.065999999999</v>
      </c>
      <c r="Q43" s="205">
        <f t="shared" si="3"/>
        <v>44434.602999999996</v>
      </c>
    </row>
    <row r="44" spans="1:17" s="217" customFormat="1" x14ac:dyDescent="0.2">
      <c r="A44" s="216">
        <v>3230</v>
      </c>
      <c r="B44" s="209" t="s">
        <v>132</v>
      </c>
      <c r="C44" s="209"/>
      <c r="D44" s="211" t="s">
        <v>134</v>
      </c>
      <c r="E44" s="209" t="s">
        <v>146</v>
      </c>
      <c r="F44" s="211">
        <v>6</v>
      </c>
      <c r="G44" s="205">
        <v>37.5</v>
      </c>
      <c r="H44" s="229">
        <f t="shared" si="4"/>
        <v>29389.857</v>
      </c>
      <c r="I44" s="205">
        <f>(544.24*6)</f>
        <v>3265.44</v>
      </c>
      <c r="J44" s="205">
        <v>0</v>
      </c>
      <c r="K44" s="205">
        <f t="shared" si="5"/>
        <v>32655.296999999999</v>
      </c>
      <c r="L44" s="205">
        <v>0</v>
      </c>
      <c r="M44" s="205"/>
      <c r="N44" s="205">
        <f t="shared" si="6"/>
        <v>2440.326</v>
      </c>
      <c r="O44" s="205">
        <v>900</v>
      </c>
      <c r="P44" s="205">
        <f t="shared" si="7"/>
        <v>3340.326</v>
      </c>
      <c r="Q44" s="205">
        <f t="shared" si="3"/>
        <v>35995.623</v>
      </c>
    </row>
    <row r="45" spans="1:17" s="217" customFormat="1" x14ac:dyDescent="0.2">
      <c r="A45" s="216">
        <v>3230</v>
      </c>
      <c r="B45" s="209" t="s">
        <v>132</v>
      </c>
      <c r="C45" s="209"/>
      <c r="D45" s="211" t="s">
        <v>134</v>
      </c>
      <c r="E45" s="209" t="s">
        <v>146</v>
      </c>
      <c r="F45" s="211">
        <v>6</v>
      </c>
      <c r="G45" s="205">
        <v>37.5</v>
      </c>
      <c r="H45" s="229">
        <f t="shared" si="4"/>
        <v>29389.857</v>
      </c>
      <c r="I45" s="205">
        <f>(544.24*6)</f>
        <v>3265.44</v>
      </c>
      <c r="J45" s="205">
        <v>0</v>
      </c>
      <c r="K45" s="205">
        <f t="shared" si="5"/>
        <v>32655.296999999999</v>
      </c>
      <c r="L45" s="205">
        <v>0</v>
      </c>
      <c r="M45" s="205"/>
      <c r="N45" s="205">
        <f t="shared" si="6"/>
        <v>2440.326</v>
      </c>
      <c r="O45" s="205">
        <v>900</v>
      </c>
      <c r="P45" s="205">
        <f t="shared" si="7"/>
        <v>3340.326</v>
      </c>
      <c r="Q45" s="205">
        <f t="shared" si="3"/>
        <v>35995.623</v>
      </c>
    </row>
    <row r="46" spans="1:17" s="217" customFormat="1" x14ac:dyDescent="0.2">
      <c r="A46" s="216">
        <v>3230</v>
      </c>
      <c r="B46" s="209" t="s">
        <v>132</v>
      </c>
      <c r="C46" s="209"/>
      <c r="D46" s="211" t="s">
        <v>135</v>
      </c>
      <c r="E46" s="209" t="s">
        <v>147</v>
      </c>
      <c r="F46" s="211">
        <v>6</v>
      </c>
      <c r="G46" s="205">
        <v>37.5</v>
      </c>
      <c r="H46" s="229">
        <f>(23849*5%)+23849</f>
        <v>25041.45</v>
      </c>
      <c r="I46" s="205">
        <f>(420.18*6)</f>
        <v>2521.08</v>
      </c>
      <c r="J46" s="205">
        <v>0</v>
      </c>
      <c r="K46" s="205">
        <f t="shared" si="5"/>
        <v>27562.53</v>
      </c>
      <c r="L46" s="205">
        <v>0</v>
      </c>
      <c r="M46" s="205"/>
      <c r="N46" s="205">
        <f t="shared" si="6"/>
        <v>2440.326</v>
      </c>
      <c r="O46" s="205">
        <v>800</v>
      </c>
      <c r="P46" s="205">
        <f t="shared" si="7"/>
        <v>3240.326</v>
      </c>
      <c r="Q46" s="205">
        <f t="shared" si="3"/>
        <v>30802.856</v>
      </c>
    </row>
    <row r="47" spans="1:17" s="217" customFormat="1" x14ac:dyDescent="0.2">
      <c r="A47" s="216">
        <v>3230</v>
      </c>
      <c r="B47" s="209" t="s">
        <v>132</v>
      </c>
      <c r="C47" s="209"/>
      <c r="D47" s="211" t="s">
        <v>135</v>
      </c>
      <c r="E47" s="209" t="s">
        <v>147</v>
      </c>
      <c r="F47" s="211">
        <v>6</v>
      </c>
      <c r="G47" s="205">
        <v>37.5</v>
      </c>
      <c r="H47" s="229">
        <f t="shared" ref="H47:H54" si="8">(23849*5%)+23849</f>
        <v>25041.45</v>
      </c>
      <c r="I47" s="205">
        <f>(420.18*6)</f>
        <v>2521.08</v>
      </c>
      <c r="J47" s="205">
        <v>0</v>
      </c>
      <c r="K47" s="205">
        <f t="shared" si="5"/>
        <v>27562.53</v>
      </c>
      <c r="L47" s="205">
        <v>0</v>
      </c>
      <c r="M47" s="205"/>
      <c r="N47" s="205">
        <f t="shared" si="6"/>
        <v>2440.326</v>
      </c>
      <c r="O47" s="205">
        <v>800</v>
      </c>
      <c r="P47" s="205">
        <f t="shared" si="7"/>
        <v>3240.326</v>
      </c>
      <c r="Q47" s="205">
        <f t="shared" si="3"/>
        <v>30802.856</v>
      </c>
    </row>
    <row r="48" spans="1:17" s="217" customFormat="1" x14ac:dyDescent="0.2">
      <c r="A48" s="216">
        <v>3230</v>
      </c>
      <c r="B48" s="209" t="s">
        <v>132</v>
      </c>
      <c r="C48" s="209"/>
      <c r="D48" s="211" t="s">
        <v>135</v>
      </c>
      <c r="E48" s="209" t="s">
        <v>147</v>
      </c>
      <c r="F48" s="211">
        <v>4</v>
      </c>
      <c r="G48" s="205">
        <v>37.5</v>
      </c>
      <c r="H48" s="229">
        <f t="shared" si="8"/>
        <v>25041.45</v>
      </c>
      <c r="I48" s="205">
        <f>(420.18*4)</f>
        <v>1680.72</v>
      </c>
      <c r="J48" s="205">
        <v>0</v>
      </c>
      <c r="K48" s="205">
        <f t="shared" si="5"/>
        <v>26722.170000000002</v>
      </c>
      <c r="L48" s="205">
        <v>0</v>
      </c>
      <c r="M48" s="205"/>
      <c r="N48" s="205">
        <f t="shared" si="6"/>
        <v>2440.326</v>
      </c>
      <c r="O48" s="205">
        <v>800</v>
      </c>
      <c r="P48" s="205">
        <f t="shared" si="7"/>
        <v>3240.326</v>
      </c>
      <c r="Q48" s="205">
        <f t="shared" si="3"/>
        <v>29962.496000000003</v>
      </c>
    </row>
    <row r="49" spans="1:20" s="217" customFormat="1" x14ac:dyDescent="0.2">
      <c r="A49" s="216">
        <v>3230</v>
      </c>
      <c r="B49" s="209" t="s">
        <v>132</v>
      </c>
      <c r="C49" s="209"/>
      <c r="D49" s="211" t="s">
        <v>135</v>
      </c>
      <c r="E49" s="209" t="s">
        <v>147</v>
      </c>
      <c r="F49" s="211">
        <v>8</v>
      </c>
      <c r="G49" s="205">
        <v>37.5</v>
      </c>
      <c r="H49" s="229">
        <f t="shared" si="8"/>
        <v>25041.45</v>
      </c>
      <c r="I49" s="205">
        <f>(420.18*8)</f>
        <v>3361.44</v>
      </c>
      <c r="J49" s="205">
        <v>297.74</v>
      </c>
      <c r="K49" s="205">
        <f t="shared" si="5"/>
        <v>28700.63</v>
      </c>
      <c r="L49" s="205">
        <v>0</v>
      </c>
      <c r="M49" s="205"/>
      <c r="N49" s="205">
        <f t="shared" si="6"/>
        <v>2440.326</v>
      </c>
      <c r="O49" s="205">
        <v>800</v>
      </c>
      <c r="P49" s="205">
        <f t="shared" si="7"/>
        <v>3240.326</v>
      </c>
      <c r="Q49" s="205">
        <f t="shared" si="3"/>
        <v>31940.956000000002</v>
      </c>
    </row>
    <row r="50" spans="1:20" s="217" customFormat="1" x14ac:dyDescent="0.2">
      <c r="A50" s="216">
        <v>3230</v>
      </c>
      <c r="B50" s="209" t="s">
        <v>132</v>
      </c>
      <c r="C50" s="209"/>
      <c r="D50" s="211" t="s">
        <v>135</v>
      </c>
      <c r="E50" s="209" t="s">
        <v>147</v>
      </c>
      <c r="F50" s="211">
        <v>5</v>
      </c>
      <c r="G50" s="205">
        <v>37.5</v>
      </c>
      <c r="H50" s="229">
        <f t="shared" si="8"/>
        <v>25041.45</v>
      </c>
      <c r="I50" s="205">
        <f>(420.18*5)</f>
        <v>2100.9</v>
      </c>
      <c r="J50" s="205">
        <v>0</v>
      </c>
      <c r="K50" s="205">
        <f t="shared" si="5"/>
        <v>27142.350000000002</v>
      </c>
      <c r="L50" s="205">
        <v>0</v>
      </c>
      <c r="M50" s="205"/>
      <c r="N50" s="205">
        <f t="shared" si="6"/>
        <v>2440.326</v>
      </c>
      <c r="O50" s="205">
        <v>800</v>
      </c>
      <c r="P50" s="205">
        <f t="shared" si="7"/>
        <v>3240.326</v>
      </c>
      <c r="Q50" s="205">
        <f t="shared" si="3"/>
        <v>30382.676000000003</v>
      </c>
    </row>
    <row r="51" spans="1:20" s="217" customFormat="1" x14ac:dyDescent="0.2">
      <c r="A51" s="216">
        <v>3230</v>
      </c>
      <c r="B51" s="209" t="s">
        <v>132</v>
      </c>
      <c r="C51" s="209"/>
      <c r="D51" s="211" t="s">
        <v>135</v>
      </c>
      <c r="E51" s="209" t="s">
        <v>147</v>
      </c>
      <c r="F51" s="211">
        <v>6</v>
      </c>
      <c r="G51" s="205">
        <v>37.5</v>
      </c>
      <c r="H51" s="229">
        <f t="shared" si="8"/>
        <v>25041.45</v>
      </c>
      <c r="I51" s="205">
        <f>(420.18*6)</f>
        <v>2521.08</v>
      </c>
      <c r="J51" s="205">
        <v>179.48</v>
      </c>
      <c r="K51" s="205">
        <f t="shared" si="5"/>
        <v>27742.01</v>
      </c>
      <c r="L51" s="205">
        <v>0</v>
      </c>
      <c r="M51" s="205"/>
      <c r="N51" s="205">
        <f t="shared" si="6"/>
        <v>2440.326</v>
      </c>
      <c r="O51" s="205">
        <v>800</v>
      </c>
      <c r="P51" s="205">
        <f t="shared" si="7"/>
        <v>3240.326</v>
      </c>
      <c r="Q51" s="205">
        <f t="shared" si="3"/>
        <v>30982.335999999999</v>
      </c>
      <c r="T51" s="218"/>
    </row>
    <row r="52" spans="1:20" s="217" customFormat="1" x14ac:dyDescent="0.2">
      <c r="A52" s="216">
        <v>3230</v>
      </c>
      <c r="B52" s="209" t="s">
        <v>132</v>
      </c>
      <c r="C52" s="209"/>
      <c r="D52" s="211" t="s">
        <v>135</v>
      </c>
      <c r="E52" s="209" t="s">
        <v>147</v>
      </c>
      <c r="F52" s="211">
        <v>6</v>
      </c>
      <c r="G52" s="205">
        <v>37.5</v>
      </c>
      <c r="H52" s="229">
        <f t="shared" si="8"/>
        <v>25041.45</v>
      </c>
      <c r="I52" s="205">
        <f>(420.18*6)</f>
        <v>2521.08</v>
      </c>
      <c r="J52" s="205">
        <v>0</v>
      </c>
      <c r="K52" s="205">
        <f t="shared" si="5"/>
        <v>27562.53</v>
      </c>
      <c r="L52" s="205">
        <v>0</v>
      </c>
      <c r="M52" s="205"/>
      <c r="N52" s="205">
        <f t="shared" si="6"/>
        <v>2440.326</v>
      </c>
      <c r="O52" s="205">
        <v>800</v>
      </c>
      <c r="P52" s="205">
        <f t="shared" si="7"/>
        <v>3240.326</v>
      </c>
      <c r="Q52" s="205">
        <f t="shared" si="3"/>
        <v>30802.856</v>
      </c>
      <c r="T52" s="218"/>
    </row>
    <row r="53" spans="1:20" s="217" customFormat="1" x14ac:dyDescent="0.2">
      <c r="A53" s="216">
        <v>3230</v>
      </c>
      <c r="B53" s="209" t="s">
        <v>132</v>
      </c>
      <c r="C53" s="209"/>
      <c r="D53" s="211" t="s">
        <v>135</v>
      </c>
      <c r="E53" s="209" t="s">
        <v>147</v>
      </c>
      <c r="F53" s="211">
        <v>6</v>
      </c>
      <c r="G53" s="205">
        <v>37.5</v>
      </c>
      <c r="H53" s="229">
        <f t="shared" si="8"/>
        <v>25041.45</v>
      </c>
      <c r="I53" s="205">
        <f>(420.18*6)</f>
        <v>2521.08</v>
      </c>
      <c r="J53" s="205">
        <v>0</v>
      </c>
      <c r="K53" s="205">
        <f t="shared" si="5"/>
        <v>27562.53</v>
      </c>
      <c r="L53" s="205">
        <v>0</v>
      </c>
      <c r="M53" s="205"/>
      <c r="N53" s="205">
        <f t="shared" si="6"/>
        <v>2440.326</v>
      </c>
      <c r="O53" s="205">
        <v>800</v>
      </c>
      <c r="P53" s="205">
        <f t="shared" si="7"/>
        <v>3240.326</v>
      </c>
      <c r="Q53" s="205">
        <f t="shared" si="3"/>
        <v>30802.856</v>
      </c>
    </row>
    <row r="54" spans="1:20" s="217" customFormat="1" x14ac:dyDescent="0.2">
      <c r="A54" s="216">
        <v>3230</v>
      </c>
      <c r="B54" s="209" t="s">
        <v>132</v>
      </c>
      <c r="C54" s="209"/>
      <c r="D54" s="211" t="s">
        <v>135</v>
      </c>
      <c r="E54" s="209" t="s">
        <v>147</v>
      </c>
      <c r="F54" s="211">
        <v>3</v>
      </c>
      <c r="G54" s="205">
        <v>37.5</v>
      </c>
      <c r="H54" s="229">
        <f t="shared" si="8"/>
        <v>25041.45</v>
      </c>
      <c r="I54" s="205">
        <f>(420.18*3)</f>
        <v>1260.54</v>
      </c>
      <c r="J54" s="205">
        <v>0</v>
      </c>
      <c r="K54" s="205">
        <f t="shared" si="5"/>
        <v>26301.99</v>
      </c>
      <c r="L54" s="205">
        <v>0</v>
      </c>
      <c r="M54" s="205"/>
      <c r="N54" s="205">
        <f t="shared" si="6"/>
        <v>2440.326</v>
      </c>
      <c r="O54" s="205">
        <v>800</v>
      </c>
      <c r="P54" s="205">
        <f t="shared" si="7"/>
        <v>3240.326</v>
      </c>
      <c r="Q54" s="205">
        <f t="shared" si="3"/>
        <v>29542.316000000003</v>
      </c>
      <c r="T54" s="218"/>
    </row>
    <row r="55" spans="1:20" s="217" customFormat="1" x14ac:dyDescent="0.2">
      <c r="C55" s="221"/>
      <c r="G55" s="221"/>
      <c r="N55" s="218"/>
      <c r="O55" s="218"/>
    </row>
    <row r="56" spans="1:20" s="217" customFormat="1" x14ac:dyDescent="0.2">
      <c r="A56" s="216"/>
      <c r="B56" s="209"/>
      <c r="C56" s="209"/>
      <c r="D56" s="211"/>
      <c r="E56" s="209"/>
      <c r="F56" s="211"/>
      <c r="G56" s="205"/>
      <c r="H56" s="205"/>
      <c r="I56" s="205"/>
      <c r="J56" s="205"/>
      <c r="K56" s="205"/>
      <c r="L56" s="205"/>
      <c r="M56" s="205"/>
      <c r="N56" s="205"/>
      <c r="O56" s="205"/>
      <c r="P56" s="205"/>
      <c r="Q56" s="205"/>
    </row>
    <row r="57" spans="1:20" s="217" customFormat="1" x14ac:dyDescent="0.2">
      <c r="A57" s="216"/>
      <c r="B57" s="209"/>
      <c r="C57" s="209"/>
      <c r="D57" s="211" t="s">
        <v>224</v>
      </c>
      <c r="E57" s="209"/>
      <c r="F57" s="211"/>
      <c r="G57" s="205"/>
      <c r="H57" s="205"/>
      <c r="I57" s="205"/>
      <c r="J57" s="205"/>
      <c r="K57" s="205"/>
      <c r="L57" s="205"/>
      <c r="M57" s="205"/>
      <c r="N57" s="205"/>
      <c r="O57" s="205"/>
      <c r="P57" s="205"/>
      <c r="Q57" s="205">
        <f>SUM(Q25:Q56)</f>
        <v>1017986.1640000003</v>
      </c>
    </row>
    <row r="58" spans="1:20" s="217" customFormat="1" x14ac:dyDescent="0.2">
      <c r="A58" s="216"/>
      <c r="B58" s="209"/>
      <c r="C58" s="209"/>
      <c r="D58" s="211"/>
      <c r="E58" s="209"/>
      <c r="F58" s="211"/>
      <c r="G58" s="205"/>
      <c r="H58" s="205"/>
      <c r="I58" s="205"/>
      <c r="J58" s="205"/>
      <c r="K58" s="205"/>
      <c r="L58" s="205"/>
      <c r="M58" s="205"/>
      <c r="N58" s="205"/>
      <c r="O58" s="205"/>
      <c r="P58" s="205"/>
      <c r="Q58" s="205"/>
    </row>
    <row r="59" spans="1:20" s="217" customFormat="1" x14ac:dyDescent="0.2">
      <c r="A59" s="216"/>
      <c r="B59" s="213"/>
      <c r="C59" s="213"/>
      <c r="D59" s="214" t="s">
        <v>230</v>
      </c>
      <c r="E59" s="213"/>
      <c r="F59" s="214"/>
      <c r="G59" s="215"/>
      <c r="H59" s="215"/>
      <c r="I59" s="215"/>
      <c r="J59" s="215"/>
      <c r="K59" s="215"/>
      <c r="L59" s="215"/>
      <c r="M59" s="215"/>
      <c r="N59" s="215"/>
      <c r="O59" s="215"/>
      <c r="P59" s="215"/>
      <c r="Q59" s="215">
        <f>Q57</f>
        <v>1017986.1640000003</v>
      </c>
    </row>
    <row r="60" spans="1:20" s="217" customFormat="1" x14ac:dyDescent="0.2">
      <c r="A60" s="216"/>
      <c r="B60" s="209"/>
      <c r="C60" s="209"/>
      <c r="D60" s="211"/>
      <c r="E60" s="209"/>
      <c r="F60" s="211"/>
      <c r="G60" s="205"/>
      <c r="H60" s="205"/>
      <c r="I60" s="205"/>
      <c r="J60" s="205"/>
      <c r="K60" s="205"/>
      <c r="L60" s="205"/>
      <c r="M60" s="205"/>
      <c r="N60" s="205"/>
      <c r="O60" s="205"/>
      <c r="P60" s="205"/>
      <c r="Q60" s="205"/>
    </row>
    <row r="61" spans="1:20" s="217" customFormat="1" x14ac:dyDescent="0.2">
      <c r="A61" s="216"/>
      <c r="B61" s="209"/>
      <c r="C61" s="209"/>
      <c r="D61" s="211"/>
      <c r="E61" s="209"/>
      <c r="F61" s="211"/>
      <c r="G61" s="205"/>
      <c r="H61" s="205"/>
      <c r="I61" s="205"/>
      <c r="J61" s="205"/>
      <c r="K61" s="205"/>
      <c r="L61" s="205"/>
      <c r="M61" s="205"/>
      <c r="N61" s="205"/>
      <c r="O61" s="205"/>
      <c r="P61" s="205"/>
      <c r="Q61" s="205"/>
    </row>
    <row r="62" spans="1:20" s="217" customFormat="1" x14ac:dyDescent="0.2">
      <c r="A62" s="216" t="s">
        <v>19</v>
      </c>
      <c r="B62" s="209" t="s">
        <v>113</v>
      </c>
      <c r="C62" s="209" t="s">
        <v>114</v>
      </c>
      <c r="D62" s="211" t="s">
        <v>115</v>
      </c>
      <c r="E62" s="209"/>
      <c r="F62" s="211" t="s">
        <v>116</v>
      </c>
      <c r="G62" s="205" t="s">
        <v>117</v>
      </c>
      <c r="H62" s="205"/>
      <c r="I62" s="205"/>
      <c r="J62" s="205" t="s">
        <v>114</v>
      </c>
      <c r="K62" s="205" t="s">
        <v>3</v>
      </c>
      <c r="L62" s="205"/>
      <c r="M62" s="205"/>
      <c r="N62" s="205" t="s">
        <v>264</v>
      </c>
      <c r="O62" s="205" t="s">
        <v>266</v>
      </c>
      <c r="P62" s="205" t="s">
        <v>3</v>
      </c>
      <c r="Q62" s="205" t="s">
        <v>3</v>
      </c>
    </row>
    <row r="63" spans="1:20" s="217" customFormat="1" x14ac:dyDescent="0.2">
      <c r="A63" s="216" t="s">
        <v>53</v>
      </c>
      <c r="B63" s="209" t="s">
        <v>118</v>
      </c>
      <c r="C63" s="209" t="s">
        <v>119</v>
      </c>
      <c r="D63" s="211" t="s">
        <v>120</v>
      </c>
      <c r="E63" s="209" t="s">
        <v>121</v>
      </c>
      <c r="F63" s="211" t="s">
        <v>119</v>
      </c>
      <c r="G63" s="205" t="s">
        <v>122</v>
      </c>
      <c r="H63" s="205" t="s">
        <v>123</v>
      </c>
      <c r="I63" s="205" t="s">
        <v>124</v>
      </c>
      <c r="J63" s="205" t="s">
        <v>125</v>
      </c>
      <c r="K63" s="205" t="s">
        <v>126</v>
      </c>
      <c r="L63" s="205" t="s">
        <v>127</v>
      </c>
      <c r="M63" s="205"/>
      <c r="N63" s="205" t="s">
        <v>265</v>
      </c>
      <c r="O63" s="205" t="s">
        <v>265</v>
      </c>
      <c r="P63" s="205" t="s">
        <v>128</v>
      </c>
      <c r="Q63" s="205" t="s">
        <v>129</v>
      </c>
    </row>
    <row r="64" spans="1:20" s="217" customFormat="1" x14ac:dyDescent="0.2">
      <c r="A64" s="216">
        <v>3231</v>
      </c>
      <c r="B64" s="209" t="s">
        <v>132</v>
      </c>
      <c r="C64" s="209"/>
      <c r="D64" s="211" t="s">
        <v>136</v>
      </c>
      <c r="E64" s="209" t="s">
        <v>149</v>
      </c>
      <c r="F64" s="211">
        <v>10</v>
      </c>
      <c r="G64" s="223">
        <v>35</v>
      </c>
      <c r="H64" s="223">
        <f>(31068.72*5%)+31068.72</f>
        <v>32622.156000000003</v>
      </c>
      <c r="I64" s="205">
        <f>(6309.72*4%)+6309.72</f>
        <v>6562.1088</v>
      </c>
      <c r="J64" s="205">
        <v>0</v>
      </c>
      <c r="K64" s="205">
        <f>SUM(H64:J64)</f>
        <v>39184.264800000004</v>
      </c>
      <c r="L64" s="205">
        <v>0</v>
      </c>
      <c r="M64" s="205">
        <f>(11928.24*5%)+11928.24</f>
        <v>12524.652</v>
      </c>
      <c r="N64" s="205">
        <f>(2324.12*5%)+2324.12</f>
        <v>2440.326</v>
      </c>
      <c r="O64" s="205">
        <v>1000</v>
      </c>
      <c r="P64" s="205">
        <f t="shared" ref="P64:P79" si="9">SUM(L64:O64)</f>
        <v>15964.977999999999</v>
      </c>
      <c r="Q64" s="205">
        <f t="shared" ref="Q64:Q78" si="10">K64+P64</f>
        <v>55149.242800000007</v>
      </c>
    </row>
    <row r="65" spans="1:17" s="217" customFormat="1" x14ac:dyDescent="0.2">
      <c r="A65" s="216">
        <v>3231</v>
      </c>
      <c r="B65" s="209" t="s">
        <v>132</v>
      </c>
      <c r="C65" s="209"/>
      <c r="D65" s="211" t="s">
        <v>240</v>
      </c>
      <c r="E65" s="209" t="s">
        <v>149</v>
      </c>
      <c r="F65" s="211">
        <v>10</v>
      </c>
      <c r="G65" s="223">
        <v>21.56</v>
      </c>
      <c r="H65" s="205">
        <f>(18419.28*5%)+18419.28</f>
        <v>19340.243999999999</v>
      </c>
      <c r="I65" s="205">
        <f>(3366.48*4%)+3366.48</f>
        <v>3501.1392000000001</v>
      </c>
      <c r="J65" s="222" t="s">
        <v>272</v>
      </c>
      <c r="K65" s="205">
        <f t="shared" ref="K65:K79" si="11">SUM(H65:J65)</f>
        <v>22841.3832</v>
      </c>
      <c r="L65" s="205">
        <v>0</v>
      </c>
      <c r="M65" s="205"/>
      <c r="N65" s="205">
        <f t="shared" ref="N65:N79" si="12">(2324.12*5%)+2324.12</f>
        <v>2440.326</v>
      </c>
      <c r="O65" s="205">
        <v>1000</v>
      </c>
      <c r="P65" s="205">
        <f t="shared" si="9"/>
        <v>3440.326</v>
      </c>
      <c r="Q65" s="205">
        <f t="shared" si="10"/>
        <v>26281.709200000001</v>
      </c>
    </row>
    <row r="66" spans="1:17" s="217" customFormat="1" x14ac:dyDescent="0.2">
      <c r="A66" s="216">
        <v>3231</v>
      </c>
      <c r="B66" s="209" t="s">
        <v>132</v>
      </c>
      <c r="C66" s="209"/>
      <c r="D66" s="211" t="s">
        <v>137</v>
      </c>
      <c r="E66" s="209" t="s">
        <v>149</v>
      </c>
      <c r="F66" s="211">
        <v>10</v>
      </c>
      <c r="G66" s="223">
        <v>24.5</v>
      </c>
      <c r="H66" s="223">
        <f>(21554.4*5%)+21554.4</f>
        <v>22632.120000000003</v>
      </c>
      <c r="I66" s="205">
        <f>(3939.36*4%)+3939.36</f>
        <v>4096.9344000000001</v>
      </c>
      <c r="J66" s="205">
        <v>110.4</v>
      </c>
      <c r="K66" s="205">
        <f t="shared" si="11"/>
        <v>26839.454400000002</v>
      </c>
      <c r="L66" s="205">
        <v>0</v>
      </c>
      <c r="M66" s="205"/>
      <c r="N66" s="205">
        <f t="shared" si="12"/>
        <v>2440.326</v>
      </c>
      <c r="O66" s="205">
        <v>1000</v>
      </c>
      <c r="P66" s="205">
        <f t="shared" si="9"/>
        <v>3440.326</v>
      </c>
      <c r="Q66" s="205">
        <f t="shared" si="10"/>
        <v>30279.780400000003</v>
      </c>
    </row>
    <row r="67" spans="1:17" s="217" customFormat="1" x14ac:dyDescent="0.2">
      <c r="A67" s="216">
        <v>3231</v>
      </c>
      <c r="B67" s="209" t="s">
        <v>132</v>
      </c>
      <c r="C67" s="209"/>
      <c r="D67" s="211" t="s">
        <v>138</v>
      </c>
      <c r="E67" s="209" t="s">
        <v>149</v>
      </c>
      <c r="F67" s="211">
        <v>0</v>
      </c>
      <c r="G67" s="223">
        <v>27.63</v>
      </c>
      <c r="H67" s="223">
        <f>(23798.64*5%)+23798.64</f>
        <v>24988.572</v>
      </c>
      <c r="I67" s="205">
        <v>0</v>
      </c>
      <c r="J67" s="205">
        <v>0</v>
      </c>
      <c r="K67" s="205">
        <f t="shared" si="11"/>
        <v>24988.572</v>
      </c>
      <c r="L67" s="205">
        <v>0</v>
      </c>
      <c r="M67" s="205"/>
      <c r="N67" s="205">
        <f t="shared" si="12"/>
        <v>2440.326</v>
      </c>
      <c r="O67" s="205">
        <v>1000</v>
      </c>
      <c r="P67" s="205">
        <f t="shared" si="9"/>
        <v>3440.326</v>
      </c>
      <c r="Q67" s="205">
        <f t="shared" si="10"/>
        <v>28428.898000000001</v>
      </c>
    </row>
    <row r="68" spans="1:17" s="217" customFormat="1" x14ac:dyDescent="0.2">
      <c r="A68" s="216">
        <v>3231</v>
      </c>
      <c r="B68" s="209" t="s">
        <v>132</v>
      </c>
      <c r="C68" s="209"/>
      <c r="D68" s="211" t="s">
        <v>139</v>
      </c>
      <c r="E68" s="209" t="s">
        <v>149</v>
      </c>
      <c r="F68" s="211">
        <v>8</v>
      </c>
      <c r="G68" s="223">
        <v>9.9</v>
      </c>
      <c r="H68" s="223">
        <f>(8787.96*5%)+8787.96</f>
        <v>9227.3579999999984</v>
      </c>
      <c r="I68" s="205">
        <f>(1427.64*4%)+1427.64</f>
        <v>1484.7456000000002</v>
      </c>
      <c r="J68" s="205">
        <v>0</v>
      </c>
      <c r="K68" s="205">
        <f t="shared" si="11"/>
        <v>10712.103599999999</v>
      </c>
      <c r="L68" s="205">
        <v>0</v>
      </c>
      <c r="M68" s="205"/>
      <c r="N68" s="205">
        <f t="shared" si="12"/>
        <v>2440.326</v>
      </c>
      <c r="O68" s="205">
        <v>1000</v>
      </c>
      <c r="P68" s="205">
        <f t="shared" si="9"/>
        <v>3440.326</v>
      </c>
      <c r="Q68" s="205">
        <f t="shared" si="10"/>
        <v>14152.429599999999</v>
      </c>
    </row>
    <row r="69" spans="1:17" s="217" customFormat="1" x14ac:dyDescent="0.2">
      <c r="A69" s="216">
        <v>3231</v>
      </c>
      <c r="B69" s="209" t="s">
        <v>132</v>
      </c>
      <c r="C69" s="209"/>
      <c r="D69" s="211" t="s">
        <v>140</v>
      </c>
      <c r="E69" s="209" t="s">
        <v>149</v>
      </c>
      <c r="F69" s="211">
        <v>9</v>
      </c>
      <c r="G69" s="223">
        <v>34.380000000000003</v>
      </c>
      <c r="H69" s="223">
        <f>(31006.44*5%)+31006.44</f>
        <v>32556.761999999999</v>
      </c>
      <c r="I69" s="205">
        <f>(5037.96*4%)+5037.96</f>
        <v>5239.4784</v>
      </c>
      <c r="J69" s="205">
        <v>0</v>
      </c>
      <c r="K69" s="205">
        <f t="shared" si="11"/>
        <v>37796.240399999995</v>
      </c>
      <c r="L69" s="205">
        <v>0</v>
      </c>
      <c r="M69" s="205"/>
      <c r="N69" s="205">
        <f t="shared" si="12"/>
        <v>2440.326</v>
      </c>
      <c r="O69" s="205">
        <v>1000</v>
      </c>
      <c r="P69" s="205">
        <f t="shared" si="9"/>
        <v>3440.326</v>
      </c>
      <c r="Q69" s="205">
        <f t="shared" si="10"/>
        <v>41236.566399999996</v>
      </c>
    </row>
    <row r="70" spans="1:17" s="217" customFormat="1" x14ac:dyDescent="0.2">
      <c r="A70" s="216">
        <v>3231</v>
      </c>
      <c r="B70" s="209" t="s">
        <v>132</v>
      </c>
      <c r="C70" s="209"/>
      <c r="D70" s="211" t="s">
        <v>241</v>
      </c>
      <c r="E70" s="209" t="s">
        <v>149</v>
      </c>
      <c r="F70" s="211">
        <v>10</v>
      </c>
      <c r="G70" s="223">
        <v>35</v>
      </c>
      <c r="H70" s="223">
        <f>(31068.72*5%)+31068.72</f>
        <v>32622.156000000003</v>
      </c>
      <c r="I70" s="205">
        <f>(5678.76*4%)+5678.76</f>
        <v>5905.9104000000007</v>
      </c>
      <c r="J70" s="205">
        <v>260.5</v>
      </c>
      <c r="K70" s="205">
        <f t="shared" si="11"/>
        <v>38788.566400000003</v>
      </c>
      <c r="L70" s="205">
        <v>0</v>
      </c>
      <c r="M70" s="205">
        <f>(4254.24*5%)+4254.24</f>
        <v>4466.9519999999993</v>
      </c>
      <c r="N70" s="205">
        <f t="shared" si="12"/>
        <v>2440.326</v>
      </c>
      <c r="O70" s="205">
        <v>1000</v>
      </c>
      <c r="P70" s="205">
        <f t="shared" si="9"/>
        <v>7907.2779999999993</v>
      </c>
      <c r="Q70" s="205">
        <f t="shared" si="10"/>
        <v>46695.844400000002</v>
      </c>
    </row>
    <row r="71" spans="1:17" s="217" customFormat="1" x14ac:dyDescent="0.2">
      <c r="A71" s="216">
        <v>3231</v>
      </c>
      <c r="B71" s="209" t="s">
        <v>132</v>
      </c>
      <c r="C71" s="209"/>
      <c r="D71" s="211" t="s">
        <v>141</v>
      </c>
      <c r="E71" s="209" t="s">
        <v>149</v>
      </c>
      <c r="F71" s="211">
        <v>10</v>
      </c>
      <c r="G71" s="223">
        <v>17.8</v>
      </c>
      <c r="H71" s="223">
        <f>(15800.64*5%)+15800.64</f>
        <v>16590.671999999999</v>
      </c>
      <c r="I71" s="205">
        <f>(2888.4*4%)+2888.4</f>
        <v>3003.9360000000001</v>
      </c>
      <c r="J71" s="205">
        <v>133.69999999999999</v>
      </c>
      <c r="K71" s="205">
        <f t="shared" si="11"/>
        <v>19728.308000000001</v>
      </c>
      <c r="L71" s="205">
        <v>0</v>
      </c>
      <c r="M71" s="205"/>
      <c r="N71" s="205">
        <f t="shared" si="12"/>
        <v>2440.326</v>
      </c>
      <c r="O71" s="205">
        <v>1000</v>
      </c>
      <c r="P71" s="205">
        <f t="shared" si="9"/>
        <v>3440.326</v>
      </c>
      <c r="Q71" s="205">
        <f t="shared" si="10"/>
        <v>23168.634000000002</v>
      </c>
    </row>
    <row r="72" spans="1:17" s="217" customFormat="1" x14ac:dyDescent="0.2">
      <c r="A72" s="216">
        <v>3231</v>
      </c>
      <c r="B72" s="209" t="s">
        <v>132</v>
      </c>
      <c r="C72" s="209"/>
      <c r="D72" s="211" t="s">
        <v>142</v>
      </c>
      <c r="E72" s="209" t="s">
        <v>149</v>
      </c>
      <c r="F72" s="211">
        <v>0</v>
      </c>
      <c r="G72" s="223">
        <v>9.5</v>
      </c>
      <c r="H72" s="223">
        <f>(8432.88*5%)+8432.88</f>
        <v>8854.5239999999994</v>
      </c>
      <c r="I72" s="205">
        <v>0</v>
      </c>
      <c r="J72" s="205">
        <v>0</v>
      </c>
      <c r="K72" s="205">
        <f t="shared" si="11"/>
        <v>8854.5239999999994</v>
      </c>
      <c r="L72" s="205">
        <v>0</v>
      </c>
      <c r="M72" s="205"/>
      <c r="N72" s="205">
        <f t="shared" si="12"/>
        <v>2440.326</v>
      </c>
      <c r="O72" s="205">
        <v>1000</v>
      </c>
      <c r="P72" s="205">
        <f t="shared" si="9"/>
        <v>3440.326</v>
      </c>
      <c r="Q72" s="205">
        <f t="shared" si="10"/>
        <v>12294.849999999999</v>
      </c>
    </row>
    <row r="73" spans="1:17" s="217" customFormat="1" x14ac:dyDescent="0.2">
      <c r="A73" s="216">
        <v>3231</v>
      </c>
      <c r="B73" s="209" t="s">
        <v>132</v>
      </c>
      <c r="C73" s="209"/>
      <c r="D73" s="211" t="s">
        <v>238</v>
      </c>
      <c r="E73" s="209" t="s">
        <v>149</v>
      </c>
      <c r="F73" s="211">
        <v>6</v>
      </c>
      <c r="G73" s="223">
        <v>9.06</v>
      </c>
      <c r="H73" s="223">
        <f>(8042.28*5%)+8042.28</f>
        <v>8444.3940000000002</v>
      </c>
      <c r="I73" s="205">
        <f>(816.36*4%)+816.36</f>
        <v>849.01440000000002</v>
      </c>
      <c r="J73" s="205">
        <v>0</v>
      </c>
      <c r="K73" s="205">
        <f t="shared" si="11"/>
        <v>9293.4084000000003</v>
      </c>
      <c r="L73" s="205">
        <v>0</v>
      </c>
      <c r="M73" s="205"/>
      <c r="N73" s="205">
        <f t="shared" si="12"/>
        <v>2440.326</v>
      </c>
      <c r="O73" s="205">
        <v>1000</v>
      </c>
      <c r="P73" s="205">
        <f t="shared" si="9"/>
        <v>3440.326</v>
      </c>
      <c r="Q73" s="205">
        <f t="shared" si="10"/>
        <v>12733.734400000001</v>
      </c>
    </row>
    <row r="74" spans="1:17" s="217" customFormat="1" x14ac:dyDescent="0.2">
      <c r="A74" s="216">
        <v>3231</v>
      </c>
      <c r="B74" s="209" t="s">
        <v>132</v>
      </c>
      <c r="C74" s="209"/>
      <c r="D74" s="211" t="s">
        <v>143</v>
      </c>
      <c r="E74" s="209" t="s">
        <v>149</v>
      </c>
      <c r="F74" s="211">
        <v>9</v>
      </c>
      <c r="G74" s="223">
        <v>11.63</v>
      </c>
      <c r="H74" s="223">
        <f>(10323.72*5%)+10323.72</f>
        <v>10839.905999999999</v>
      </c>
      <c r="I74" s="205">
        <f>(1887*4%)+1887</f>
        <v>1962.48</v>
      </c>
      <c r="J74" s="205">
        <v>0</v>
      </c>
      <c r="K74" s="205">
        <f t="shared" si="11"/>
        <v>12802.385999999999</v>
      </c>
      <c r="L74" s="205">
        <v>0</v>
      </c>
      <c r="M74" s="205"/>
      <c r="N74" s="205">
        <f t="shared" si="12"/>
        <v>2440.326</v>
      </c>
      <c r="O74" s="205">
        <v>1000</v>
      </c>
      <c r="P74" s="205">
        <f t="shared" si="9"/>
        <v>3440.326</v>
      </c>
      <c r="Q74" s="205">
        <f t="shared" si="10"/>
        <v>16242.712</v>
      </c>
    </row>
    <row r="75" spans="1:17" s="217" customFormat="1" x14ac:dyDescent="0.2">
      <c r="A75" s="216">
        <v>3231</v>
      </c>
      <c r="B75" s="209" t="s">
        <v>132</v>
      </c>
      <c r="C75" s="209"/>
      <c r="D75" s="211" t="s">
        <v>140</v>
      </c>
      <c r="E75" s="209" t="s">
        <v>149</v>
      </c>
      <c r="F75" s="211">
        <v>9</v>
      </c>
      <c r="G75" s="223">
        <v>15</v>
      </c>
      <c r="H75" s="223">
        <f>(13315.2*5%)+13315.2</f>
        <v>13980.960000000001</v>
      </c>
      <c r="I75" s="205">
        <f>(2433.48*4%)+2433.48</f>
        <v>2530.8191999999999</v>
      </c>
      <c r="J75" s="205">
        <v>0</v>
      </c>
      <c r="K75" s="205">
        <f t="shared" si="11"/>
        <v>16511.779200000001</v>
      </c>
      <c r="L75" s="205">
        <v>0</v>
      </c>
      <c r="M75" s="205"/>
      <c r="N75" s="205">
        <f t="shared" si="12"/>
        <v>2440.326</v>
      </c>
      <c r="O75" s="205">
        <v>1000</v>
      </c>
      <c r="P75" s="205">
        <f t="shared" si="9"/>
        <v>3440.326</v>
      </c>
      <c r="Q75" s="205">
        <f t="shared" si="10"/>
        <v>19952.105200000002</v>
      </c>
    </row>
    <row r="76" spans="1:17" s="217" customFormat="1" x14ac:dyDescent="0.2">
      <c r="A76" s="216">
        <v>3231</v>
      </c>
      <c r="B76" s="209" t="s">
        <v>132</v>
      </c>
      <c r="C76" s="209"/>
      <c r="D76" s="211" t="s">
        <v>144</v>
      </c>
      <c r="E76" s="209" t="s">
        <v>149</v>
      </c>
      <c r="F76" s="211">
        <v>2</v>
      </c>
      <c r="G76" s="223">
        <v>15.31</v>
      </c>
      <c r="H76" s="223">
        <f>(13886.36*5%)+13866.36</f>
        <v>14560.678</v>
      </c>
      <c r="I76" s="205">
        <f>(276*4%)+276</f>
        <v>287.04000000000002</v>
      </c>
      <c r="J76" s="205">
        <v>0</v>
      </c>
      <c r="K76" s="205">
        <f>SUM(H76:J76)</f>
        <v>14847.718000000001</v>
      </c>
      <c r="L76" s="205">
        <v>0</v>
      </c>
      <c r="M76" s="205"/>
      <c r="N76" s="205">
        <f t="shared" si="12"/>
        <v>2440.326</v>
      </c>
      <c r="O76" s="205">
        <v>1000</v>
      </c>
      <c r="P76" s="205">
        <f t="shared" si="9"/>
        <v>3440.326</v>
      </c>
      <c r="Q76" s="205">
        <f t="shared" si="10"/>
        <v>18288.044000000002</v>
      </c>
    </row>
    <row r="77" spans="1:17" s="217" customFormat="1" x14ac:dyDescent="0.2">
      <c r="A77" s="216"/>
      <c r="B77" s="209"/>
      <c r="C77" s="209"/>
      <c r="D77" s="211" t="s">
        <v>262</v>
      </c>
      <c r="E77" s="209" t="s">
        <v>149</v>
      </c>
      <c r="F77" s="211">
        <v>2</v>
      </c>
      <c r="G77" s="223">
        <v>7.65</v>
      </c>
      <c r="H77" s="223">
        <f>(6790.8*5%)+6790.8</f>
        <v>7130.34</v>
      </c>
      <c r="I77" s="205">
        <f>(275.88*4%)+275.88</f>
        <v>286.91519999999997</v>
      </c>
      <c r="J77" s="205">
        <v>0</v>
      </c>
      <c r="K77" s="205">
        <f>SUM(H77:J77)</f>
        <v>7417.2552000000005</v>
      </c>
      <c r="L77" s="205">
        <v>0</v>
      </c>
      <c r="M77" s="205"/>
      <c r="N77" s="205">
        <f t="shared" si="12"/>
        <v>2440.326</v>
      </c>
      <c r="O77" s="205">
        <v>1000</v>
      </c>
      <c r="P77" s="205">
        <f t="shared" si="9"/>
        <v>3440.326</v>
      </c>
      <c r="Q77" s="205">
        <f t="shared" si="10"/>
        <v>10857.581200000001</v>
      </c>
    </row>
    <row r="78" spans="1:17" s="225" customFormat="1" x14ac:dyDescent="0.2">
      <c r="A78" s="216">
        <v>3231</v>
      </c>
      <c r="B78" s="209" t="s">
        <v>132</v>
      </c>
      <c r="C78" s="224"/>
      <c r="D78" s="211" t="s">
        <v>256</v>
      </c>
      <c r="E78" s="209" t="s">
        <v>149</v>
      </c>
      <c r="F78" s="211">
        <v>9</v>
      </c>
      <c r="G78" s="223">
        <v>6</v>
      </c>
      <c r="H78" s="223">
        <f>(5226.75*5%)+5226.75</f>
        <v>5488.0874999999996</v>
      </c>
      <c r="I78" s="205">
        <f>(1776.9*4%)+1776.9</f>
        <v>1847.9760000000001</v>
      </c>
      <c r="J78" s="205">
        <v>0</v>
      </c>
      <c r="K78" s="205">
        <f t="shared" ref="K78" si="13">SUM(H78:J78)</f>
        <v>7336.0635000000002</v>
      </c>
      <c r="L78" s="205">
        <v>0</v>
      </c>
      <c r="M78" s="219"/>
      <c r="N78" s="205">
        <f t="shared" si="12"/>
        <v>2440.326</v>
      </c>
      <c r="O78" s="205">
        <v>1000</v>
      </c>
      <c r="P78" s="205">
        <f t="shared" si="9"/>
        <v>3440.326</v>
      </c>
      <c r="Q78" s="205">
        <f t="shared" si="10"/>
        <v>10776.389500000001</v>
      </c>
    </row>
    <row r="79" spans="1:17" s="217" customFormat="1" x14ac:dyDescent="0.2">
      <c r="A79" s="216">
        <v>3231</v>
      </c>
      <c r="B79" s="209" t="s">
        <v>132</v>
      </c>
      <c r="C79" s="209"/>
      <c r="D79" s="211" t="s">
        <v>145</v>
      </c>
      <c r="E79" s="209" t="s">
        <v>148</v>
      </c>
      <c r="F79" s="211">
        <v>2</v>
      </c>
      <c r="G79" s="223">
        <v>37.5</v>
      </c>
      <c r="H79" s="205">
        <f>(20106*5%)+20106</f>
        <v>21111.3</v>
      </c>
      <c r="I79" s="205">
        <f>(560.16*4%)+560.16</f>
        <v>582.56639999999993</v>
      </c>
      <c r="J79" s="205">
        <v>0</v>
      </c>
      <c r="K79" s="205">
        <f t="shared" si="11"/>
        <v>21693.866399999999</v>
      </c>
      <c r="L79" s="205">
        <v>0</v>
      </c>
      <c r="M79" s="205"/>
      <c r="N79" s="205">
        <f t="shared" si="12"/>
        <v>2440.326</v>
      </c>
      <c r="O79" s="205">
        <v>700</v>
      </c>
      <c r="P79" s="205">
        <f t="shared" si="9"/>
        <v>3140.326</v>
      </c>
      <c r="Q79" s="205">
        <f>K79+P79</f>
        <v>24834.1924</v>
      </c>
    </row>
    <row r="80" spans="1:17" s="207" customFormat="1" x14ac:dyDescent="0.2">
      <c r="A80" s="208"/>
      <c r="B80" s="178"/>
      <c r="C80" s="178"/>
      <c r="D80" s="203"/>
      <c r="E80" s="178"/>
      <c r="F80" s="211"/>
      <c r="G80" s="205"/>
      <c r="H80" s="205"/>
      <c r="I80" s="205"/>
      <c r="J80" s="205"/>
      <c r="K80" s="205"/>
      <c r="L80" s="205"/>
      <c r="M80" s="205"/>
      <c r="N80" s="205"/>
      <c r="O80" s="205"/>
      <c r="P80" s="205"/>
      <c r="Q80" s="205"/>
    </row>
    <row r="81" spans="1:17" s="207" customFormat="1" x14ac:dyDescent="0.2">
      <c r="A81" s="208"/>
      <c r="B81" s="178"/>
      <c r="C81" s="178"/>
      <c r="D81" s="203" t="s">
        <v>235</v>
      </c>
      <c r="E81" s="178"/>
      <c r="F81" s="211"/>
      <c r="G81" s="205"/>
      <c r="H81" s="205"/>
      <c r="I81" s="205"/>
      <c r="J81" s="205"/>
      <c r="K81" s="205"/>
      <c r="L81" s="205"/>
      <c r="M81" s="205"/>
      <c r="N81" s="205"/>
      <c r="O81" s="205"/>
      <c r="P81" s="205"/>
      <c r="Q81" s="205">
        <f>SUM(Q64:Q80)</f>
        <v>391372.71350000001</v>
      </c>
    </row>
    <row r="82" spans="1:17" s="207" customFormat="1" x14ac:dyDescent="0.2">
      <c r="A82" s="208"/>
      <c r="B82" s="178"/>
      <c r="C82" s="178"/>
      <c r="D82" s="203"/>
      <c r="E82" s="178"/>
      <c r="F82" s="211"/>
      <c r="G82" s="205"/>
      <c r="H82" s="205"/>
      <c r="I82" s="205"/>
      <c r="J82" s="205"/>
      <c r="K82" s="205"/>
      <c r="L82" s="205"/>
      <c r="M82" s="205"/>
      <c r="N82" s="205"/>
      <c r="O82" s="205"/>
      <c r="P82" s="205"/>
      <c r="Q82" s="206"/>
    </row>
    <row r="83" spans="1:17" s="207" customFormat="1" x14ac:dyDescent="0.2">
      <c r="A83" s="202"/>
      <c r="B83" s="212"/>
      <c r="C83" s="212"/>
      <c r="D83" s="204" t="s">
        <v>236</v>
      </c>
      <c r="E83" s="212"/>
      <c r="F83" s="214"/>
      <c r="G83" s="215"/>
      <c r="H83" s="215"/>
      <c r="I83" s="215"/>
      <c r="J83" s="215"/>
      <c r="K83" s="215"/>
      <c r="L83" s="215"/>
      <c r="M83" s="215"/>
      <c r="N83" s="215"/>
      <c r="O83" s="215"/>
      <c r="P83" s="215"/>
      <c r="Q83" s="220">
        <f>Q81</f>
        <v>391372.71350000001</v>
      </c>
    </row>
    <row r="84" spans="1:17" s="207" customFormat="1" x14ac:dyDescent="0.2">
      <c r="A84" s="202"/>
      <c r="B84" s="212"/>
      <c r="C84" s="204"/>
      <c r="D84" s="204" t="s">
        <v>237</v>
      </c>
      <c r="E84" s="212"/>
      <c r="F84" s="214"/>
      <c r="G84" s="215"/>
      <c r="H84" s="215"/>
      <c r="I84" s="215"/>
      <c r="J84" s="215"/>
      <c r="K84" s="215"/>
      <c r="L84" s="215"/>
      <c r="M84" s="215"/>
      <c r="N84" s="215"/>
      <c r="O84" s="215"/>
      <c r="P84" s="215"/>
      <c r="Q84" s="220">
        <f>SUM(Q23,Q57,Q81)</f>
        <v>1571230.8979000004</v>
      </c>
    </row>
    <row r="85" spans="1:17" s="207" customFormat="1" x14ac:dyDescent="0.2">
      <c r="F85" s="217"/>
      <c r="G85" s="226"/>
      <c r="H85" s="217"/>
      <c r="I85" s="217"/>
      <c r="J85" s="217"/>
      <c r="K85" s="217"/>
      <c r="L85" s="217"/>
      <c r="M85" s="217"/>
      <c r="N85" s="217"/>
      <c r="O85" s="217"/>
      <c r="P85" s="217"/>
    </row>
    <row r="86" spans="1:17" s="207" customFormat="1" x14ac:dyDescent="0.2">
      <c r="G86" s="226"/>
      <c r="H86" s="217"/>
      <c r="I86" s="217"/>
      <c r="J86" s="217"/>
      <c r="L86" s="217"/>
      <c r="M86" s="217"/>
      <c r="N86" s="217"/>
      <c r="O86" s="217"/>
    </row>
    <row r="87" spans="1:17" s="207" customFormat="1" x14ac:dyDescent="0.2">
      <c r="D87" s="217"/>
      <c r="G87" s="221"/>
      <c r="H87" s="217"/>
      <c r="I87" s="217"/>
      <c r="J87" s="217"/>
      <c r="L87" s="217"/>
      <c r="M87" s="217"/>
      <c r="N87" s="217"/>
      <c r="O87" s="217"/>
    </row>
    <row r="88" spans="1:17" s="207" customFormat="1" x14ac:dyDescent="0.2">
      <c r="G88" s="221"/>
      <c r="H88" s="217"/>
      <c r="I88" s="217"/>
      <c r="J88" s="217"/>
      <c r="L88" s="217"/>
      <c r="M88" s="217"/>
      <c r="N88" s="217"/>
      <c r="O88" s="217"/>
    </row>
  </sheetData>
  <pageMargins left="0.70866141732283472" right="0.70866141732283472" top="0.74803149606299213" bottom="0.74803149606299213" header="0.31496062992125984" footer="0.31496062992125984"/>
  <pageSetup paperSize="9" scale="45"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
  <dimension ref="A1:F68"/>
  <sheetViews>
    <sheetView workbookViewId="0">
      <selection activeCell="I28" sqref="I28"/>
    </sheetView>
  </sheetViews>
  <sheetFormatPr baseColWidth="10" defaultColWidth="11.42578125" defaultRowHeight="12.75" x14ac:dyDescent="0.2"/>
  <cols>
    <col min="1" max="1" width="5.140625" style="22" customWidth="1"/>
    <col min="2" max="2" width="18.7109375" style="22" customWidth="1"/>
    <col min="3" max="3" width="30.7109375" style="22" customWidth="1"/>
    <col min="4" max="5" width="15" style="22" bestFit="1" customWidth="1"/>
    <col min="6" max="6" width="14.140625" style="22" bestFit="1" customWidth="1"/>
    <col min="7" max="16384" width="11.42578125" style="22"/>
  </cols>
  <sheetData>
    <row r="1" spans="1:6" ht="15.75" x14ac:dyDescent="0.2">
      <c r="A1" s="246" t="s">
        <v>189</v>
      </c>
      <c r="B1" s="246"/>
      <c r="C1" s="246"/>
      <c r="D1" s="246"/>
      <c r="E1" s="246"/>
      <c r="F1" s="246"/>
    </row>
    <row r="3" spans="1:6" x14ac:dyDescent="0.2">
      <c r="A3" s="247" t="s">
        <v>150</v>
      </c>
      <c r="B3" s="247"/>
      <c r="C3" s="247"/>
      <c r="D3" s="247"/>
      <c r="E3" s="247"/>
      <c r="F3" s="247"/>
    </row>
    <row r="4" spans="1:6" x14ac:dyDescent="0.2">
      <c r="A4" s="248" t="s">
        <v>151</v>
      </c>
      <c r="B4" s="248"/>
      <c r="C4" s="248"/>
      <c r="D4" s="248"/>
      <c r="E4" s="248"/>
      <c r="F4" s="248"/>
    </row>
    <row r="5" spans="1:6" s="29" customFormat="1" ht="16.5" customHeight="1" x14ac:dyDescent="0.2">
      <c r="A5" s="23" t="s">
        <v>152</v>
      </c>
      <c r="B5" s="24"/>
      <c r="C5" s="25" t="b">
        <v>1</v>
      </c>
      <c r="D5" s="26"/>
      <c r="E5" s="27"/>
      <c r="F5" s="28"/>
    </row>
    <row r="6" spans="1:6" s="29" customFormat="1" hidden="1" x14ac:dyDescent="0.2">
      <c r="A6" s="30"/>
      <c r="B6" s="31"/>
      <c r="C6" s="32" t="b">
        <v>0</v>
      </c>
      <c r="D6" s="33"/>
      <c r="E6" s="33"/>
      <c r="F6" s="28"/>
    </row>
    <row r="7" spans="1:6" s="29" customFormat="1" hidden="1" x14ac:dyDescent="0.2">
      <c r="A7" s="30"/>
      <c r="B7" s="31"/>
      <c r="C7" s="32" t="b">
        <v>0</v>
      </c>
      <c r="D7" s="34"/>
      <c r="E7" s="33"/>
      <c r="F7" s="28"/>
    </row>
    <row r="8" spans="1:6" s="29" customFormat="1" x14ac:dyDescent="0.2">
      <c r="A8" s="249" t="s">
        <v>153</v>
      </c>
      <c r="B8" s="250"/>
      <c r="C8" s="35"/>
      <c r="D8" s="36" t="str">
        <f>IF(C5,"CRED. INICIALS",IF(C6,"CRED. ACTUALS",IF(C7,"LIQUIDATS","???")))</f>
        <v>CRED. INICIALS</v>
      </c>
      <c r="E8" s="37" t="s">
        <v>154</v>
      </c>
      <c r="F8" s="37" t="s">
        <v>155</v>
      </c>
    </row>
    <row r="9" spans="1:6" ht="13.5" thickBot="1" x14ac:dyDescent="0.25">
      <c r="A9" s="243" t="s">
        <v>156</v>
      </c>
      <c r="B9" s="243"/>
      <c r="C9" s="38"/>
      <c r="D9" s="38"/>
      <c r="E9" s="38"/>
      <c r="F9" s="39"/>
    </row>
    <row r="10" spans="1:6" ht="13.5" thickBot="1" x14ac:dyDescent="0.25">
      <c r="A10" s="40">
        <v>1</v>
      </c>
      <c r="B10" s="244" t="s">
        <v>157</v>
      </c>
      <c r="C10" s="245"/>
      <c r="D10" s="43">
        <f>SUM('1_Ingressos'!D10)</f>
        <v>0</v>
      </c>
      <c r="E10" s="44"/>
      <c r="F10" s="45">
        <f>+D10+E10</f>
        <v>0</v>
      </c>
    </row>
    <row r="11" spans="1:6" x14ac:dyDescent="0.2">
      <c r="A11" s="46">
        <v>2</v>
      </c>
      <c r="B11" s="251" t="s">
        <v>158</v>
      </c>
      <c r="C11" s="252"/>
      <c r="D11" s="43">
        <v>0</v>
      </c>
      <c r="E11" s="47"/>
      <c r="F11" s="48">
        <f t="shared" ref="F11:F17" si="0">+D11+E11</f>
        <v>0</v>
      </c>
    </row>
    <row r="12" spans="1:6" x14ac:dyDescent="0.2">
      <c r="A12" s="46" t="s">
        <v>159</v>
      </c>
      <c r="B12" s="251" t="s">
        <v>160</v>
      </c>
      <c r="C12" s="252"/>
      <c r="D12" s="49">
        <v>0</v>
      </c>
      <c r="E12" s="50"/>
      <c r="F12" s="48">
        <f t="shared" si="0"/>
        <v>0</v>
      </c>
    </row>
    <row r="13" spans="1:6" x14ac:dyDescent="0.2">
      <c r="A13" s="46" t="s">
        <v>161</v>
      </c>
      <c r="B13" s="251" t="s">
        <v>162</v>
      </c>
      <c r="C13" s="252"/>
      <c r="D13" s="49">
        <f>SUM('1_Ingressos'!D11)</f>
        <v>510398.74</v>
      </c>
      <c r="E13" s="50"/>
      <c r="F13" s="48">
        <f t="shared" si="0"/>
        <v>510398.74</v>
      </c>
    </row>
    <row r="14" spans="1:6" x14ac:dyDescent="0.2">
      <c r="A14" s="46">
        <v>4</v>
      </c>
      <c r="B14" s="251" t="s">
        <v>163</v>
      </c>
      <c r="C14" s="252"/>
      <c r="D14" s="49">
        <f>SUM('1_Ingressos'!D12)</f>
        <v>2246194.6</v>
      </c>
      <c r="E14" s="50"/>
      <c r="F14" s="48">
        <f t="shared" si="0"/>
        <v>2246194.6</v>
      </c>
    </row>
    <row r="15" spans="1:6" x14ac:dyDescent="0.2">
      <c r="A15" s="46">
        <v>5</v>
      </c>
      <c r="B15" s="251" t="s">
        <v>164</v>
      </c>
      <c r="C15" s="252"/>
      <c r="D15" s="49"/>
      <c r="E15" s="47"/>
      <c r="F15" s="48">
        <f t="shared" si="0"/>
        <v>0</v>
      </c>
    </row>
    <row r="16" spans="1:6" x14ac:dyDescent="0.2">
      <c r="A16" s="46">
        <v>6</v>
      </c>
      <c r="B16" s="251" t="s">
        <v>165</v>
      </c>
      <c r="C16" s="252"/>
      <c r="D16" s="51">
        <f>SUM('1_Ingressos'!D17)</f>
        <v>0</v>
      </c>
      <c r="E16" s="47"/>
      <c r="F16" s="48">
        <f t="shared" si="0"/>
        <v>0</v>
      </c>
    </row>
    <row r="17" spans="1:6" x14ac:dyDescent="0.2">
      <c r="A17" s="46">
        <v>7</v>
      </c>
      <c r="B17" s="251" t="s">
        <v>166</v>
      </c>
      <c r="C17" s="252"/>
      <c r="D17" s="51">
        <f>SUM('1_Ingressos'!D18)</f>
        <v>37516</v>
      </c>
      <c r="E17" s="47"/>
      <c r="F17" s="48">
        <f t="shared" si="0"/>
        <v>37516</v>
      </c>
    </row>
    <row r="18" spans="1:6" x14ac:dyDescent="0.2">
      <c r="A18" s="46">
        <v>8</v>
      </c>
      <c r="B18" s="251" t="s">
        <v>167</v>
      </c>
      <c r="C18" s="252"/>
      <c r="D18" s="51">
        <f>SUM('1_Ingressos'!D22)</f>
        <v>0</v>
      </c>
      <c r="E18" s="47"/>
      <c r="F18" s="48">
        <f>+D18+E18</f>
        <v>0</v>
      </c>
    </row>
    <row r="19" spans="1:6" ht="13.5" thickBot="1" x14ac:dyDescent="0.25">
      <c r="A19" s="52">
        <v>9</v>
      </c>
      <c r="B19" s="53" t="s">
        <v>168</v>
      </c>
      <c r="C19" s="54"/>
      <c r="D19" s="51">
        <f>SUM('1_Ingressos'!D23)</f>
        <v>0</v>
      </c>
      <c r="E19" s="55"/>
      <c r="F19" s="56">
        <f>+D19+E19</f>
        <v>0</v>
      </c>
    </row>
    <row r="20" spans="1:6" ht="13.5" thickBot="1" x14ac:dyDescent="0.25">
      <c r="A20" s="255" t="s">
        <v>169</v>
      </c>
      <c r="B20" s="255"/>
      <c r="C20" s="57"/>
      <c r="D20" s="58">
        <f>SUM(D10:D19)</f>
        <v>2794109.34</v>
      </c>
      <c r="E20" s="58">
        <f>SUM(E10:E19)</f>
        <v>0</v>
      </c>
      <c r="F20" s="58">
        <f>SUM(F10:F19)</f>
        <v>2794109.34</v>
      </c>
    </row>
    <row r="21" spans="1:6" ht="13.5" thickBot="1" x14ac:dyDescent="0.25">
      <c r="A21" s="40">
        <v>11</v>
      </c>
      <c r="B21" s="244" t="s">
        <v>157</v>
      </c>
      <c r="C21" s="245"/>
      <c r="D21" s="43">
        <f>SUM('2_Despesa econòmica'!F9)</f>
        <v>2319384.4786070008</v>
      </c>
      <c r="E21" s="59"/>
      <c r="F21" s="60">
        <f t="shared" ref="F21:F26" si="1">+D21+E21</f>
        <v>2319384.4786070008</v>
      </c>
    </row>
    <row r="22" spans="1:6" ht="13.5" thickBot="1" x14ac:dyDescent="0.25">
      <c r="A22" s="46">
        <v>12</v>
      </c>
      <c r="B22" s="251" t="s">
        <v>158</v>
      </c>
      <c r="C22" s="252"/>
      <c r="D22" s="43">
        <f>SUM('2_Despesa econòmica'!F10)</f>
        <v>382503.98199999996</v>
      </c>
      <c r="E22" s="61"/>
      <c r="F22" s="62">
        <f t="shared" si="1"/>
        <v>382503.98199999996</v>
      </c>
    </row>
    <row r="23" spans="1:6" ht="13.5" thickBot="1" x14ac:dyDescent="0.25">
      <c r="A23" s="46">
        <v>13</v>
      </c>
      <c r="B23" s="251" t="s">
        <v>170</v>
      </c>
      <c r="C23" s="252"/>
      <c r="D23" s="43">
        <f>SUM('2_Despesa econòmica'!F11)</f>
        <v>2304.88</v>
      </c>
      <c r="E23" s="61"/>
      <c r="F23" s="62">
        <f t="shared" si="1"/>
        <v>2304.88</v>
      </c>
    </row>
    <row r="24" spans="1:6" x14ac:dyDescent="0.2">
      <c r="A24" s="46">
        <v>14</v>
      </c>
      <c r="B24" s="251" t="s">
        <v>163</v>
      </c>
      <c r="C24" s="252"/>
      <c r="D24" s="43">
        <f>SUM('2_Despesa econòmica'!F12)</f>
        <v>52400</v>
      </c>
      <c r="E24" s="61"/>
      <c r="F24" s="62">
        <f t="shared" si="1"/>
        <v>52400</v>
      </c>
    </row>
    <row r="25" spans="1:6" x14ac:dyDescent="0.2">
      <c r="A25" s="46">
        <v>16</v>
      </c>
      <c r="B25" s="251" t="s">
        <v>165</v>
      </c>
      <c r="C25" s="252"/>
      <c r="D25" s="51">
        <f>SUM('2_Despesa econòmica'!F16)</f>
        <v>37516</v>
      </c>
      <c r="E25" s="61"/>
      <c r="F25" s="62">
        <f t="shared" si="1"/>
        <v>37516</v>
      </c>
    </row>
    <row r="26" spans="1:6" x14ac:dyDescent="0.2">
      <c r="A26" s="46">
        <v>17</v>
      </c>
      <c r="B26" s="251" t="s">
        <v>166</v>
      </c>
      <c r="C26" s="252"/>
      <c r="D26" s="51">
        <f>SUM('2_Despesa econòmica'!F17)</f>
        <v>0</v>
      </c>
      <c r="E26" s="61"/>
      <c r="F26" s="62">
        <f t="shared" si="1"/>
        <v>0</v>
      </c>
    </row>
    <row r="27" spans="1:6" x14ac:dyDescent="0.2">
      <c r="A27" s="46">
        <v>18</v>
      </c>
      <c r="B27" s="251" t="s">
        <v>167</v>
      </c>
      <c r="C27" s="252"/>
      <c r="D27" s="51">
        <f>SUM('2_Despesa econòmica'!F21)</f>
        <v>0</v>
      </c>
      <c r="E27" s="61"/>
      <c r="F27" s="62">
        <f>+D27</f>
        <v>0</v>
      </c>
    </row>
    <row r="28" spans="1:6" ht="13.5" thickBot="1" x14ac:dyDescent="0.25">
      <c r="A28" s="52">
        <v>19</v>
      </c>
      <c r="B28" s="53" t="s">
        <v>168</v>
      </c>
      <c r="C28" s="54"/>
      <c r="D28" s="51">
        <f>SUM('2_Despesa econòmica'!F22)</f>
        <v>0</v>
      </c>
      <c r="E28" s="63"/>
      <c r="F28" s="64">
        <f>+D28</f>
        <v>0</v>
      </c>
    </row>
    <row r="29" spans="1:6" ht="13.5" thickBot="1" x14ac:dyDescent="0.25">
      <c r="A29" s="255" t="s">
        <v>171</v>
      </c>
      <c r="B29" s="255"/>
      <c r="C29" s="65"/>
      <c r="D29" s="58">
        <f>SUM(D21:D28)</f>
        <v>2794109.3406070005</v>
      </c>
      <c r="E29" s="58">
        <f>SUM(E21:E28)</f>
        <v>0</v>
      </c>
      <c r="F29" s="58">
        <f>SUM(F21:F28)</f>
        <v>2794109.3406070005</v>
      </c>
    </row>
    <row r="30" spans="1:6" x14ac:dyDescent="0.2">
      <c r="A30" s="40">
        <v>20</v>
      </c>
      <c r="B30" s="41" t="s">
        <v>172</v>
      </c>
      <c r="C30" s="42"/>
      <c r="D30" s="66">
        <f>(+D10+D11+D13+D14+D15-D21-D22-D23-D24)</f>
        <v>-6.0700088943121955E-4</v>
      </c>
      <c r="E30" s="66">
        <f>+E10+E11+E13+E14+E15-E21-E22-E23-E24</f>
        <v>0</v>
      </c>
      <c r="F30" s="60">
        <f>+F10+F11+F13+F14+F15-F21-F22-F23-F24</f>
        <v>-6.0700088943121955E-4</v>
      </c>
    </row>
    <row r="31" spans="1:6" x14ac:dyDescent="0.2">
      <c r="A31" s="46">
        <v>21</v>
      </c>
      <c r="B31" s="251" t="s">
        <v>173</v>
      </c>
      <c r="C31" s="252"/>
      <c r="D31" s="67">
        <f>+D25+D26-D12-D16-D17</f>
        <v>0</v>
      </c>
      <c r="E31" s="67">
        <f>+E25+E26-E12-E16-E17</f>
        <v>0</v>
      </c>
      <c r="F31" s="62">
        <f>+F25+F26-F12-F16-F17</f>
        <v>0</v>
      </c>
    </row>
    <row r="32" spans="1:6" x14ac:dyDescent="0.2">
      <c r="A32" s="68">
        <v>22</v>
      </c>
      <c r="B32" s="257" t="s">
        <v>174</v>
      </c>
      <c r="C32" s="258"/>
      <c r="D32" s="69">
        <f>+D30-D31</f>
        <v>-6.0700088943121955E-4</v>
      </c>
      <c r="E32" s="69">
        <f>+E30-E31</f>
        <v>0</v>
      </c>
      <c r="F32" s="70">
        <f>+F30-F31</f>
        <v>-6.0700088943121955E-4</v>
      </c>
    </row>
    <row r="33" spans="1:6" ht="14.25" customHeight="1" x14ac:dyDescent="0.2">
      <c r="A33" s="46">
        <v>23</v>
      </c>
      <c r="B33" s="251" t="s">
        <v>175</v>
      </c>
      <c r="C33" s="252"/>
      <c r="D33" s="67">
        <f>+D30-D28</f>
        <v>-6.0700088943121955E-4</v>
      </c>
      <c r="E33" s="67">
        <f>+E30-E28</f>
        <v>0</v>
      </c>
      <c r="F33" s="62">
        <f>+F30-F28</f>
        <v>-6.0700088943121955E-4</v>
      </c>
    </row>
    <row r="34" spans="1:6" ht="14.25" customHeight="1" thickBot="1" x14ac:dyDescent="0.25">
      <c r="A34" s="52">
        <v>24</v>
      </c>
      <c r="B34" s="53" t="s">
        <v>176</v>
      </c>
      <c r="C34" s="54"/>
      <c r="D34" s="71">
        <f>+D18+D19-D27-D28</f>
        <v>0</v>
      </c>
      <c r="E34" s="71">
        <f>+E18+E19-E27-E28</f>
        <v>0</v>
      </c>
      <c r="F34" s="72">
        <f>+F18+F19-F27-F28</f>
        <v>0</v>
      </c>
    </row>
    <row r="35" spans="1:6" s="73" customFormat="1" ht="10.5" customHeight="1" x14ac:dyDescent="0.2">
      <c r="A35" s="259"/>
      <c r="B35" s="259"/>
      <c r="C35" s="259"/>
      <c r="D35" s="260"/>
      <c r="E35" s="260"/>
    </row>
    <row r="36" spans="1:6" x14ac:dyDescent="0.2">
      <c r="A36" s="29"/>
      <c r="B36" s="74" t="s">
        <v>177</v>
      </c>
    </row>
    <row r="37" spans="1:6" x14ac:dyDescent="0.2">
      <c r="A37" s="29"/>
      <c r="B37" s="254" t="s">
        <v>178</v>
      </c>
      <c r="C37" s="254"/>
      <c r="D37" s="254"/>
      <c r="E37" s="254"/>
      <c r="F37" s="254"/>
    </row>
    <row r="38" spans="1:6" x14ac:dyDescent="0.2">
      <c r="A38" s="29"/>
      <c r="B38" s="254"/>
      <c r="C38" s="254"/>
      <c r="D38" s="254"/>
      <c r="E38" s="254"/>
      <c r="F38" s="254"/>
    </row>
    <row r="39" spans="1:6" ht="9.75" customHeight="1" x14ac:dyDescent="0.2">
      <c r="A39" s="29"/>
      <c r="B39" s="254"/>
      <c r="C39" s="254"/>
      <c r="D39" s="254"/>
      <c r="E39" s="254"/>
      <c r="F39" s="254"/>
    </row>
    <row r="40" spans="1:6" ht="1.5" customHeight="1" x14ac:dyDescent="0.2">
      <c r="A40" s="29"/>
      <c r="B40" s="75"/>
      <c r="C40" s="75"/>
      <c r="D40" s="75"/>
      <c r="E40" s="75"/>
      <c r="F40" s="75"/>
    </row>
    <row r="41" spans="1:6" x14ac:dyDescent="0.2">
      <c r="A41" s="29"/>
      <c r="B41" s="253" t="s">
        <v>179</v>
      </c>
      <c r="C41" s="253"/>
      <c r="D41" s="253"/>
      <c r="E41" s="253"/>
      <c r="F41" s="253"/>
    </row>
    <row r="42" spans="1:6" x14ac:dyDescent="0.2">
      <c r="A42" s="29"/>
      <c r="B42" s="256" t="s">
        <v>180</v>
      </c>
      <c r="C42" s="254"/>
      <c r="D42" s="254"/>
      <c r="E42" s="254"/>
      <c r="F42" s="254"/>
    </row>
    <row r="43" spans="1:6" x14ac:dyDescent="0.2">
      <c r="A43" s="29"/>
      <c r="B43" s="254"/>
      <c r="C43" s="254"/>
      <c r="D43" s="254"/>
      <c r="E43" s="254"/>
      <c r="F43" s="254"/>
    </row>
    <row r="44" spans="1:6" x14ac:dyDescent="0.2">
      <c r="A44" s="29"/>
      <c r="B44" s="254"/>
      <c r="C44" s="254"/>
      <c r="D44" s="254"/>
      <c r="E44" s="254"/>
      <c r="F44" s="254"/>
    </row>
    <row r="45" spans="1:6" ht="16.5" customHeight="1" x14ac:dyDescent="0.2">
      <c r="A45" s="29"/>
      <c r="B45" s="254"/>
      <c r="C45" s="254"/>
      <c r="D45" s="254"/>
      <c r="E45" s="254"/>
      <c r="F45" s="254"/>
    </row>
    <row r="46" spans="1:6" ht="3.75" customHeight="1" x14ac:dyDescent="0.2">
      <c r="A46" s="29"/>
    </row>
    <row r="47" spans="1:6" x14ac:dyDescent="0.2">
      <c r="A47" s="29"/>
      <c r="B47" s="253" t="s">
        <v>181</v>
      </c>
      <c r="C47" s="253"/>
      <c r="D47" s="253"/>
      <c r="E47" s="253"/>
      <c r="F47" s="253"/>
    </row>
    <row r="48" spans="1:6" x14ac:dyDescent="0.2">
      <c r="A48" s="29"/>
      <c r="B48" s="256" t="s">
        <v>182</v>
      </c>
      <c r="C48" s="254"/>
      <c r="D48" s="254"/>
      <c r="E48" s="254"/>
      <c r="F48" s="254"/>
    </row>
    <row r="49" spans="1:6" x14ac:dyDescent="0.2">
      <c r="A49" s="29"/>
      <c r="B49" s="254"/>
      <c r="C49" s="254"/>
      <c r="D49" s="254"/>
      <c r="E49" s="254"/>
      <c r="F49" s="254"/>
    </row>
    <row r="50" spans="1:6" x14ac:dyDescent="0.2">
      <c r="A50" s="29"/>
      <c r="B50" s="254"/>
      <c r="C50" s="254"/>
      <c r="D50" s="254"/>
      <c r="E50" s="254"/>
      <c r="F50" s="254"/>
    </row>
    <row r="51" spans="1:6" x14ac:dyDescent="0.2">
      <c r="A51" s="29"/>
      <c r="B51" s="254"/>
      <c r="C51" s="254"/>
      <c r="D51" s="254"/>
      <c r="E51" s="254"/>
      <c r="F51" s="254"/>
    </row>
    <row r="52" spans="1:6" x14ac:dyDescent="0.2">
      <c r="A52" s="29"/>
      <c r="B52" s="254"/>
      <c r="C52" s="254"/>
      <c r="D52" s="254"/>
      <c r="E52" s="254"/>
      <c r="F52" s="254"/>
    </row>
    <row r="53" spans="1:6" ht="16.5" customHeight="1" x14ac:dyDescent="0.2">
      <c r="A53" s="29"/>
      <c r="B53" s="254"/>
      <c r="C53" s="254"/>
      <c r="D53" s="254"/>
      <c r="E53" s="254"/>
      <c r="F53" s="254"/>
    </row>
    <row r="54" spans="1:6" x14ac:dyDescent="0.2">
      <c r="A54" s="29"/>
      <c r="B54" s="253" t="s">
        <v>183</v>
      </c>
      <c r="C54" s="253"/>
      <c r="D54" s="253"/>
      <c r="E54" s="253"/>
      <c r="F54" s="253"/>
    </row>
    <row r="55" spans="1:6" x14ac:dyDescent="0.2">
      <c r="A55" s="29"/>
      <c r="B55" s="256" t="s">
        <v>184</v>
      </c>
      <c r="C55" s="254"/>
      <c r="D55" s="254"/>
      <c r="E55" s="254"/>
      <c r="F55" s="254"/>
    </row>
    <row r="56" spans="1:6" x14ac:dyDescent="0.2">
      <c r="A56" s="29"/>
      <c r="B56" s="254"/>
      <c r="C56" s="254"/>
      <c r="D56" s="254"/>
      <c r="E56" s="254"/>
      <c r="F56" s="254"/>
    </row>
    <row r="57" spans="1:6" x14ac:dyDescent="0.2">
      <c r="A57" s="29"/>
      <c r="B57" s="254"/>
      <c r="C57" s="254"/>
      <c r="D57" s="254"/>
      <c r="E57" s="254"/>
      <c r="F57" s="254"/>
    </row>
    <row r="58" spans="1:6" ht="12" customHeight="1" x14ac:dyDescent="0.2">
      <c r="A58" s="29"/>
      <c r="B58" s="253" t="s">
        <v>185</v>
      </c>
      <c r="C58" s="253"/>
      <c r="D58" s="253"/>
      <c r="E58" s="253"/>
      <c r="F58" s="75"/>
    </row>
    <row r="59" spans="1:6" x14ac:dyDescent="0.2">
      <c r="A59" s="29"/>
      <c r="B59" s="256" t="s">
        <v>186</v>
      </c>
      <c r="C59" s="254"/>
      <c r="D59" s="254"/>
      <c r="E59" s="254"/>
      <c r="F59" s="254"/>
    </row>
    <row r="60" spans="1:6" x14ac:dyDescent="0.2">
      <c r="A60" s="29"/>
      <c r="B60" s="254"/>
      <c r="C60" s="254"/>
      <c r="D60" s="254"/>
      <c r="E60" s="254"/>
      <c r="F60" s="254"/>
    </row>
    <row r="61" spans="1:6" x14ac:dyDescent="0.2">
      <c r="A61" s="29"/>
      <c r="B61" s="254"/>
      <c r="C61" s="254"/>
      <c r="D61" s="254"/>
      <c r="E61" s="254"/>
      <c r="F61" s="254"/>
    </row>
    <row r="62" spans="1:6" x14ac:dyDescent="0.2">
      <c r="A62" s="29"/>
      <c r="B62" s="254"/>
      <c r="C62" s="254"/>
      <c r="D62" s="254"/>
      <c r="E62" s="254"/>
      <c r="F62" s="254"/>
    </row>
    <row r="63" spans="1:6" x14ac:dyDescent="0.2">
      <c r="A63" s="29"/>
      <c r="B63" s="254"/>
      <c r="C63" s="254"/>
      <c r="D63" s="254"/>
      <c r="E63" s="254"/>
      <c r="F63" s="254"/>
    </row>
    <row r="64" spans="1:6" ht="12.75" customHeight="1" x14ac:dyDescent="0.2">
      <c r="A64" s="29"/>
      <c r="C64" s="76" t="s">
        <v>187</v>
      </c>
      <c r="D64" s="76"/>
      <c r="E64" s="76"/>
    </row>
    <row r="68" spans="1:4" x14ac:dyDescent="0.2">
      <c r="A68" s="261" t="s">
        <v>188</v>
      </c>
      <c r="B68" s="261"/>
      <c r="C68" s="261"/>
      <c r="D68" s="261"/>
    </row>
  </sheetData>
  <mergeCells count="37">
    <mergeCell ref="A35:E35"/>
    <mergeCell ref="B48:F53"/>
    <mergeCell ref="A68:D68"/>
    <mergeCell ref="B54:F54"/>
    <mergeCell ref="B55:F57"/>
    <mergeCell ref="B58:E58"/>
    <mergeCell ref="B59:F63"/>
    <mergeCell ref="B21:C21"/>
    <mergeCell ref="B47:F47"/>
    <mergeCell ref="B37:F39"/>
    <mergeCell ref="A20:B20"/>
    <mergeCell ref="B27:C27"/>
    <mergeCell ref="B41:F41"/>
    <mergeCell ref="B42:F45"/>
    <mergeCell ref="B32:C32"/>
    <mergeCell ref="B33:C33"/>
    <mergeCell ref="B31:C31"/>
    <mergeCell ref="A29:B29"/>
    <mergeCell ref="B24:C24"/>
    <mergeCell ref="B25:C25"/>
    <mergeCell ref="B22:C22"/>
    <mergeCell ref="B26:C26"/>
    <mergeCell ref="B23:C23"/>
    <mergeCell ref="B11:C11"/>
    <mergeCell ref="B16:C16"/>
    <mergeCell ref="B17:C17"/>
    <mergeCell ref="B18:C18"/>
    <mergeCell ref="B13:C13"/>
    <mergeCell ref="B15:C15"/>
    <mergeCell ref="B12:C12"/>
    <mergeCell ref="B14:C14"/>
    <mergeCell ref="A9:B9"/>
    <mergeCell ref="B10:C10"/>
    <mergeCell ref="A1:F1"/>
    <mergeCell ref="A3:F3"/>
    <mergeCell ref="A4:F4"/>
    <mergeCell ref="A8:B8"/>
  </mergeCells>
  <phoneticPr fontId="6" type="noConversion"/>
  <pageMargins left="0.74803149606299213" right="0.74803149606299213" top="0.98425196850393704" bottom="0.98425196850393704" header="0" footer="0"/>
  <pageSetup paperSize="9" scale="8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866775</xdr:colOff>
                    <xdr:row>3</xdr:row>
                    <xdr:rowOff>142875</xdr:rowOff>
                  </from>
                  <to>
                    <xdr:col>2</xdr:col>
                    <xdr:colOff>1362075</xdr:colOff>
                    <xdr:row>4</xdr:row>
                    <xdr:rowOff>190500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1171575</xdr:colOff>
                    <xdr:row>3</xdr:row>
                    <xdr:rowOff>142875</xdr:rowOff>
                  </from>
                  <to>
                    <xdr:col>3</xdr:col>
                    <xdr:colOff>609600</xdr:colOff>
                    <xdr:row>4</xdr:row>
                    <xdr:rowOff>190500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523875</xdr:colOff>
                    <xdr:row>3</xdr:row>
                    <xdr:rowOff>142875</xdr:rowOff>
                  </from>
                  <to>
                    <xdr:col>5</xdr:col>
                    <xdr:colOff>276225</xdr:colOff>
                    <xdr:row>4</xdr:row>
                    <xdr:rowOff>190500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0</xdr:colOff>
                    <xdr:row>34</xdr:row>
                    <xdr:rowOff>28575</xdr:rowOff>
                  </from>
                  <to>
                    <xdr:col>0</xdr:col>
                    <xdr:colOff>304800</xdr:colOff>
                    <xdr:row>36</xdr:row>
                    <xdr:rowOff>85725</xdr:rowOff>
                  </to>
                </anchor>
              </controlPr>
            </control>
          </mc:Choice>
        </mc:AlternateContent>
        <mc:AlternateContent xmlns:mc="http://schemas.openxmlformats.org/markup-compatibility/2006">
          <mc:Choice Requires="x14">
            <control shapeId="1029" r:id="rId8" name="Check Box 5">
              <controlPr defaultSize="0" autoFill="0" autoLine="0" autoPict="0" altText="D'acord amb el càlcul anterior, no s'han assolits els objectius fixats, en materia d'estabilitat pressupostaria, en el tràmit motiu de l'informe._x000a__x000a_Per aquest motiu, i d'acrod amb els articles 19, 20, 21 i 26 del Reglament .... calldrà procedir a  aprovar ">
                <anchor moveWithCells="1">
                  <from>
                    <xdr:col>0</xdr:col>
                    <xdr:colOff>0</xdr:colOff>
                    <xdr:row>38</xdr:row>
                    <xdr:rowOff>0</xdr:rowOff>
                  </from>
                  <to>
                    <xdr:col>1</xdr:col>
                    <xdr:colOff>0</xdr:colOff>
                    <xdr:row>42</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ltText="D'acord amb el càlcul anterior, no s'han assolits els objectius fixats, en materia d'estabilitat pressupostaria, en el tràmit motiu de l'informe._x000a__x000a_Per aquest motiu, i d'acrod amb els articles 19, 20, 21 i 26 del Reglament .... calldrà procedir a  aprovar ">
                <anchor moveWithCells="1">
                  <from>
                    <xdr:col>0</xdr:col>
                    <xdr:colOff>9525</xdr:colOff>
                    <xdr:row>44</xdr:row>
                    <xdr:rowOff>104775</xdr:rowOff>
                  </from>
                  <to>
                    <xdr:col>1</xdr:col>
                    <xdr:colOff>9525</xdr:colOff>
                    <xdr:row>47</xdr:row>
                    <xdr:rowOff>114300</xdr:rowOff>
                  </to>
                </anchor>
              </controlPr>
            </control>
          </mc:Choice>
        </mc:AlternateContent>
        <mc:AlternateContent xmlns:mc="http://schemas.openxmlformats.org/markup-compatibility/2006">
          <mc:Choice Requires="x14">
            <control shapeId="1031" r:id="rId10" name="Check Box 7">
              <controlPr defaultSize="0" autoFill="0" autoLine="0" autoPict="0" altText="D'acord amb el càlcul anterior, no s'han assolits els objectius fixats, en materia d'estabilitat pressupostaria, en el tràmit motiu de l'informe._x000a__x000a_Per aquest motiu, i d'acrod amb els articles 19, 20, 21 i 26 del Reglament .... calldrà procedir a  aprovar ">
                <anchor moveWithCells="1">
                  <from>
                    <xdr:col>0</xdr:col>
                    <xdr:colOff>0</xdr:colOff>
                    <xdr:row>56</xdr:row>
                    <xdr:rowOff>28575</xdr:rowOff>
                  </from>
                  <to>
                    <xdr:col>1</xdr:col>
                    <xdr:colOff>0</xdr:colOff>
                    <xdr:row>58</xdr:row>
                    <xdr:rowOff>152400</xdr:rowOff>
                  </to>
                </anchor>
              </controlPr>
            </control>
          </mc:Choice>
        </mc:AlternateContent>
        <mc:AlternateContent xmlns:mc="http://schemas.openxmlformats.org/markup-compatibility/2006">
          <mc:Choice Requires="x14">
            <control shapeId="1032" r:id="rId11" name="Check Box 8">
              <controlPr defaultSize="0" autoFill="0" autoLine="0" autoPict="0" altText="D'acord amb el càlcul anterior, no s'han assolits els objectius fixats, en materia d'estabilitat pressupostaria, en el tràmit motiu de l'informe._x000a__x000a_Per aquest motiu, i d'acrod amb els articles 19, 20, 21 i 26 del Reglament .... calldrà procedir a  aprovar ">
                <anchor moveWithCells="1">
                  <from>
                    <xdr:col>0</xdr:col>
                    <xdr:colOff>9525</xdr:colOff>
                    <xdr:row>52</xdr:row>
                    <xdr:rowOff>76200</xdr:rowOff>
                  </from>
                  <to>
                    <xdr:col>1</xdr:col>
                    <xdr:colOff>9525</xdr:colOff>
                    <xdr:row>54</xdr:row>
                    <xdr:rowOff>142875</xdr:rowOff>
                  </to>
                </anchor>
              </controlPr>
            </control>
          </mc:Choice>
        </mc:AlternateContent>
      </controls>
    </mc:Choice>
  </mc:AlternateConten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1_Ingressos</vt:lpstr>
      <vt:lpstr>2_Despesa econòmica</vt:lpstr>
      <vt:lpstr>3_Despeses Àrea Despesa</vt:lpstr>
      <vt:lpstr>4_Annex inversions</vt:lpstr>
      <vt:lpstr>5_Annex personal 2023</vt:lpstr>
      <vt:lpstr>6_Compliment Estab. Pressupost</vt:lpstr>
      <vt:lpstr>'3_Despeses Àrea Despesa'!Área_de_impresión</vt:lpstr>
      <vt:lpstr>'4_Annex inversions'!Área_de_impresión</vt:lpstr>
      <vt:lpstr>Excel_BuiltIn__FilterDatabase_2</vt:lpstr>
      <vt:lpstr>'2_Despesa econòmica'!Títulos_a_imprimir</vt:lpstr>
      <vt:lpstr>'3_Despeses Àrea Despesa'!Títulos_a_imprimir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dc:creator>
  <cp:lastModifiedBy>Garcia Guixe, Àngela</cp:lastModifiedBy>
  <cp:revision>1</cp:revision>
  <cp:lastPrinted>2022-11-23T09:21:40Z</cp:lastPrinted>
  <dcterms:created xsi:type="dcterms:W3CDTF">2002-10-29T08:46:32Z</dcterms:created>
  <dcterms:modified xsi:type="dcterms:W3CDTF">2022-11-25T09:08:59Z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inculació pressupost">
    <vt:lpwstr>PRESSUPOST INSTITUT MUNICIPAL D'EDUCACIÓ, EXERCICI 2006</vt:lpwstr>
  </property>
  <property fmtid="{D5CDD505-2E9C-101B-9397-08002B2CF9AE}" pid="3" name="BExAnalyzer_OldName">
    <vt:lpwstr>PRESSUPOST IME 2020 - increment.xlsx</vt:lpwstr>
  </property>
</Properties>
</file>